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defaultThemeVersion="166925"/>
  <mc:AlternateContent xmlns:mc="http://schemas.openxmlformats.org/markup-compatibility/2006">
    <mc:Choice Requires="x15">
      <x15ac:absPath xmlns:x15ac="http://schemas.microsoft.com/office/spreadsheetml/2010/11/ac" url="/Users/sharon/Desktop/"/>
    </mc:Choice>
  </mc:AlternateContent>
  <xr:revisionPtr revIDLastSave="0" documentId="13_ncr:1_{BD4A45A5-B3DC-7B47-8556-1632BBF3467E}" xr6:coauthVersionLast="47" xr6:coauthVersionMax="47" xr10:uidLastSave="{00000000-0000-0000-0000-000000000000}"/>
  <bookViews>
    <workbookView xWindow="2300" yWindow="800" windowWidth="27800" windowHeight="16280" xr2:uid="{9E747528-5A34-4F2B-B76D-9BDFCD36F195}"/>
  </bookViews>
  <sheets>
    <sheet name="README" sheetId="9" r:id="rId1"/>
    <sheet name="Base Data" sheetId="5" r:id="rId2"/>
    <sheet name="Mould Calculator" sheetId="7"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 i="7" l="1"/>
  <c r="M2" i="7" l="1"/>
  <c r="N2" i="7"/>
  <c r="C2" i="7"/>
  <c r="T16" i="7"/>
  <c r="A2" i="7"/>
  <c r="E2" i="7" s="1"/>
  <c r="B2" i="7"/>
  <c r="X24" i="7" a="1"/>
  <c r="U24" i="7" a="1"/>
  <c r="W24" i="7" a="1"/>
  <c r="W20" i="7" a="1"/>
  <c r="T9" i="7" l="1" a="1"/>
  <c r="T9" i="7" s="1"/>
  <c r="W20" i="7"/>
  <c r="D2" i="7"/>
  <c r="U24" i="7"/>
  <c r="V24" i="7" s="1"/>
  <c r="W24" i="7"/>
  <c r="X24" i="7"/>
  <c r="F2" i="7"/>
  <c r="G2" i="7"/>
  <c r="X21" i="7" a="1"/>
  <c r="W21" i="7" a="1"/>
  <c r="X20" i="7" a="1"/>
  <c r="W22" i="7" a="1"/>
  <c r="X22" i="7" a="1"/>
  <c r="X23" i="7" a="1"/>
  <c r="W23" i="7" a="1"/>
  <c r="L2" i="7" l="1"/>
  <c r="I2" i="7"/>
  <c r="H2" i="7" s="1"/>
  <c r="J2" i="7" s="1"/>
  <c r="W21" i="7"/>
  <c r="W22" i="7"/>
  <c r="X23" i="7"/>
  <c r="X20" i="7"/>
  <c r="X21" i="7"/>
  <c r="X22" i="7"/>
  <c r="W23" i="7"/>
  <c r="U20" i="7" a="1"/>
  <c r="U20" i="7" l="1"/>
  <c r="V20" i="7" s="1"/>
  <c r="U21" i="7" a="1"/>
  <c r="U21" i="7" l="1"/>
  <c r="V21" i="7" s="1"/>
  <c r="U22" i="7" a="1"/>
  <c r="U22" i="7" l="1"/>
  <c r="V22" i="7" s="1"/>
  <c r="U23" i="7" a="1"/>
  <c r="U23" i="7" l="1"/>
  <c r="V23" i="7" s="1"/>
  <c r="T5" i="7" a="1"/>
  <c r="T5" i="7" l="1"/>
  <c r="T6"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Guest User</author>
  </authors>
  <commentList>
    <comment ref="L22" authorId="0" shapeId="0" xr:uid="{D998A4C7-631B-4BC7-B2B8-145BAA47A1B3}">
      <text>
        <r>
          <rPr>
            <sz val="11"/>
            <color theme="1"/>
            <rFont val="Calibri"/>
            <family val="2"/>
            <scheme val="minor"/>
          </rPr>
          <t xml:space="preserve">Number of rows:
Enter the row number of the last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Guest User</author>
    <author>Sharon Isaac-Upton</author>
  </authors>
  <commentList>
    <comment ref="A1" authorId="0" shapeId="0" xr:uid="{4249D9F5-5643-4943-9B8B-11D7C6D2E6D8}">
      <text>
        <r>
          <rPr>
            <sz val="11"/>
            <color rgb="FF000000"/>
            <rFont val="Calibri"/>
            <family val="2"/>
          </rPr>
          <t xml:space="preserve">Mould Calculator:
</t>
        </r>
        <r>
          <rPr>
            <sz val="11"/>
            <color rgb="FF000000"/>
            <rFont val="Calibri"/>
            <family val="2"/>
          </rPr>
          <t xml:space="preserve">
</t>
        </r>
        <r>
          <rPr>
            <sz val="11"/>
            <color rgb="FF000000"/>
            <rFont val="Calibri"/>
            <family val="2"/>
          </rPr>
          <t xml:space="preserve">Green cell in last row is the current % mould risk estimate assuming you had 0 mould when you started adding data. 
</t>
        </r>
        <r>
          <rPr>
            <sz val="11"/>
            <color rgb="FF000000"/>
            <rFont val="Calibri"/>
            <family val="2"/>
          </rPr>
          <t xml:space="preserve">
</t>
        </r>
        <r>
          <rPr>
            <sz val="11"/>
            <color rgb="FF000000"/>
            <rFont val="Calibri"/>
            <family val="2"/>
          </rPr>
          <t xml:space="preserve">The formula is known to have about 70% accuracy (aka it will predict mould correctly about 70% of the time)
</t>
        </r>
        <r>
          <rPr>
            <sz val="11"/>
            <color rgb="FF000000"/>
            <rFont val="Calibri"/>
            <family val="2"/>
          </rPr>
          <t xml:space="preserve">
</t>
        </r>
        <r>
          <rPr>
            <sz val="11"/>
            <color rgb="FF000000"/>
            <rFont val="Calibri"/>
            <family val="2"/>
          </rPr>
          <t xml:space="preserve">When you add more data to your base data sheet just extend the table and it should fill down automatically
</t>
        </r>
        <r>
          <rPr>
            <sz val="11"/>
            <color rgb="FF000000"/>
            <rFont val="Calibri"/>
            <family val="2"/>
          </rPr>
          <t xml:space="preserve">
</t>
        </r>
        <r>
          <rPr>
            <sz val="11"/>
            <color rgb="FF000000"/>
            <rFont val="Calibri"/>
            <family val="2"/>
          </rPr>
          <t>The table takes temperature and humidity from the base data and uses formulas from mould paper to estimate mould risk</t>
        </r>
      </text>
    </comment>
    <comment ref="P1" authorId="0" shapeId="0" xr:uid="{4E657CCF-022B-4880-BC67-B54927E2750B}">
      <text>
        <r>
          <rPr>
            <sz val="11"/>
            <color rgb="FF000000"/>
            <rFont val="Calibri"/>
            <family val="2"/>
          </rPr>
          <t xml:space="preserve">Constants:
</t>
        </r>
        <r>
          <rPr>
            <sz val="11"/>
            <color rgb="FF000000"/>
            <rFont val="Calibri"/>
            <family val="2"/>
          </rPr>
          <t xml:space="preserve">
</t>
        </r>
        <r>
          <rPr>
            <sz val="11"/>
            <color rgb="FF000000"/>
            <rFont val="Calibri"/>
            <family val="2"/>
          </rPr>
          <t xml:space="preserve">Constants used for mould calculators formulas
</t>
        </r>
      </text>
    </comment>
    <comment ref="S5" authorId="1" shapeId="0" xr:uid="{E078EC81-6C83-854A-AA77-A84B9DCAFA0F}">
      <text>
        <r>
          <rPr>
            <sz val="11"/>
            <color rgb="FF000000"/>
            <rFont val="Calibri"/>
            <family val="2"/>
            <scheme val="minor"/>
          </rPr>
          <t>Current Mould Risk:</t>
        </r>
        <r>
          <rPr>
            <sz val="11"/>
            <color rgb="FF000000"/>
            <rFont val="Calibri"/>
            <family val="2"/>
            <scheme val="minor"/>
          </rPr>
          <t xml:space="preserve">
</t>
        </r>
        <r>
          <rPr>
            <sz val="11"/>
            <color rgb="FF000000"/>
            <rFont val="Calibri"/>
            <family val="2"/>
            <scheme val="minor"/>
          </rPr>
          <t>Takes mould % risk from last row of the table</t>
        </r>
      </text>
    </comment>
    <comment ref="S14" authorId="0" shapeId="0" xr:uid="{5835EC57-CCBF-4ED4-9816-CF9BB432A50F}">
      <text>
        <r>
          <rPr>
            <sz val="11"/>
            <color rgb="FF000000"/>
            <rFont val="Calibri"/>
            <family val="2"/>
          </rPr>
          <t xml:space="preserve">Data Intervals:
</t>
        </r>
        <r>
          <rPr>
            <sz val="11"/>
            <color rgb="FF000000"/>
            <rFont val="Calibri"/>
            <family val="2"/>
          </rPr>
          <t xml:space="preserve">
</t>
        </r>
        <r>
          <rPr>
            <sz val="11"/>
            <color rgb="FF000000"/>
            <rFont val="Calibri"/>
            <family val="2"/>
          </rPr>
          <t xml:space="preserve">Put your data interval in the yellow box.
</t>
        </r>
        <r>
          <rPr>
            <sz val="11"/>
            <color rgb="FF000000"/>
            <rFont val="Calibri"/>
            <family val="2"/>
          </rPr>
          <t xml:space="preserve">
</t>
        </r>
        <r>
          <rPr>
            <sz val="11"/>
            <color rgb="FF000000"/>
            <rFont val="Calibri"/>
            <family val="2"/>
          </rPr>
          <t>E.g. if your data has values taken every 5 minutes, put 5 in the yellow box</t>
        </r>
      </text>
    </comment>
    <comment ref="S15" authorId="0" shapeId="0" xr:uid="{1B793BD6-9536-4EBF-9A6C-E82D37C054B8}">
      <text>
        <r>
          <rPr>
            <sz val="11"/>
            <color rgb="FF000000"/>
            <rFont val="Calibri"/>
            <family val="2"/>
          </rPr>
          <t xml:space="preserve">Number of rows:
</t>
        </r>
        <r>
          <rPr>
            <sz val="11"/>
            <color rgb="FF000000"/>
            <rFont val="Calibri"/>
            <family val="2"/>
          </rPr>
          <t xml:space="preserve">
</t>
        </r>
        <r>
          <rPr>
            <sz val="11"/>
            <color rgb="FF000000"/>
            <rFont val="Calibri"/>
            <family val="2"/>
          </rPr>
          <t>Enter the row number of the last data entry in the Base Data sheet in the yellow box. This should give you the number of rows your mould calculator table should have</t>
        </r>
      </text>
    </comment>
    <comment ref="S19" authorId="0" shapeId="0" xr:uid="{87392ECE-901C-4828-A514-E6DAF6A0C7B5}">
      <text>
        <r>
          <rPr>
            <sz val="11"/>
            <color rgb="FF000000"/>
            <rFont val="Calibri"/>
            <family val="2"/>
          </rPr>
          <t xml:space="preserve">Key Times:
</t>
        </r>
        <r>
          <rPr>
            <sz val="11"/>
            <color rgb="FF000000"/>
            <rFont val="Calibri"/>
            <family val="2"/>
          </rPr>
          <t xml:space="preserve">
</t>
        </r>
        <r>
          <rPr>
            <sz val="11"/>
            <color rgb="FF000000"/>
            <rFont val="Calibri"/>
            <family val="2"/>
          </rPr>
          <t xml:space="preserve">This table shows the % Mould risk at each key time (key times calculated from the start of your data). It also shows the average temperature and humidity from the start of your data to the key time.
</t>
        </r>
        <r>
          <rPr>
            <sz val="11"/>
            <color rgb="FF000000"/>
            <rFont val="Calibri"/>
            <family val="2"/>
          </rPr>
          <t xml:space="preserve">
</t>
        </r>
        <r>
          <rPr>
            <sz val="11"/>
            <color rgb="FF000000"/>
            <rFont val="Calibri"/>
            <family val="2"/>
          </rPr>
          <t xml:space="preserve">
</t>
        </r>
        <r>
          <rPr>
            <sz val="11"/>
            <color rgb="FF000000"/>
            <rFont val="Calibri"/>
            <family val="2"/>
          </rPr>
          <t xml:space="preserve">To add more key times:
</t>
        </r>
        <r>
          <rPr>
            <sz val="11"/>
            <color rgb="FF000000"/>
            <rFont val="Calibri"/>
            <family val="2"/>
          </rPr>
          <t xml:space="preserve">
</t>
        </r>
        <r>
          <rPr>
            <sz val="11"/>
            <color rgb="FF000000"/>
            <rFont val="Calibri"/>
            <family val="2"/>
          </rPr>
          <t xml:space="preserve">- Add a new row to the table
</t>
        </r>
        <r>
          <rPr>
            <sz val="11"/>
            <color rgb="FF000000"/>
            <rFont val="Calibri"/>
            <family val="2"/>
          </rPr>
          <t xml:space="preserve">- Enter key time in column 1
</t>
        </r>
        <r>
          <rPr>
            <sz val="11"/>
            <color rgb="FF000000"/>
            <rFont val="Calibri"/>
            <family val="2"/>
          </rPr>
          <t xml:space="preserve">- Enter how many hours that is in column 2
</t>
        </r>
        <r>
          <rPr>
            <sz val="11"/>
            <color rgb="FF000000"/>
            <rFont val="Calibri"/>
            <family val="2"/>
          </rPr>
          <t>- Copy down the formula in columns 3, 4, 5</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<sst xmlns="http://schemas.openxmlformats.org/spreadsheetml/2006/main" count="114" uniqueCount="108">
  <si>
    <t>Time</t>
  </si>
  <si>
    <t>Temperature (°C)</t>
  </si>
  <si>
    <t>Humidity (%)</t>
  </si>
  <si>
    <t>CO2 (ppm)</t>
  </si>
  <si>
    <t>PM2.5(μg/m³)</t>
  </si>
  <si>
    <t>Type</t>
  </si>
  <si>
    <t>Data</t>
  </si>
  <si>
    <t>Constants</t>
  </si>
  <si>
    <t>RH crit - Critical humidity (Humidity above which mould increases) - %</t>
  </si>
  <si>
    <t>M - Mould index - 0 = no mould, 6 = 100% mould coverage</t>
  </si>
  <si>
    <t>M - Mould index %</t>
  </si>
  <si>
    <t>k1 - A constant</t>
  </si>
  <si>
    <t>k2 - A constant</t>
  </si>
  <si>
    <t>Mmax - Maximum mould level</t>
  </si>
  <si>
    <t>dM/dt - Rate of change of mould index</t>
  </si>
  <si>
    <t>RH&gt;20</t>
  </si>
  <si>
    <t>A</t>
  </si>
  <si>
    <t>B</t>
  </si>
  <si>
    <t>C</t>
  </si>
  <si>
    <t>k11</t>
  </si>
  <si>
    <t>k12</t>
  </si>
  <si>
    <t>pT</t>
  </si>
  <si>
    <t>pRH</t>
  </si>
  <si>
    <t>pC</t>
  </si>
  <si>
    <t>W</t>
  </si>
  <si>
    <t>SQ</t>
  </si>
  <si>
    <t>tVOC(ppm)</t>
  </si>
  <si>
    <t>Hours passed</t>
  </si>
  <si>
    <t>Value (See section 4 of paper)</t>
  </si>
  <si>
    <t>Data intervals:</t>
  </si>
  <si>
    <t>1 year</t>
  </si>
  <si>
    <t>Key Times</t>
  </si>
  <si>
    <t>1 hour</t>
  </si>
  <si>
    <t>1 day</t>
  </si>
  <si>
    <t>1 week</t>
  </si>
  <si>
    <t>1 month</t>
  </si>
  <si>
    <t>Number of rows needed for calculator</t>
  </si>
  <si>
    <t>Open the CSV file and select all</t>
  </si>
  <si>
    <t>Date</t>
  </si>
  <si>
    <t>pc50date</t>
  </si>
  <si>
    <t>DateOnly</t>
  </si>
  <si>
    <t>Hour</t>
  </si>
  <si>
    <t>MOULD CALCULATOR</t>
  </si>
  <si>
    <t>Current risk of mould*</t>
  </si>
  <si>
    <t>*(assuming 0% mould at the start of the data)</t>
  </si>
  <si>
    <t>Data based on x number of days*</t>
  </si>
  <si>
    <t>* the more data, the better the formula</t>
  </si>
  <si>
    <t>2023-09-01 00:00</t>
  </si>
  <si>
    <t>Hours</t>
  </si>
  <si>
    <t>Mould Risk %</t>
  </si>
  <si>
    <t>Avg Temp</t>
  </si>
  <si>
    <t>Avg Humidity</t>
  </si>
  <si>
    <t>Air monitor device type:</t>
  </si>
  <si>
    <t>Your risk of mould is:</t>
  </si>
  <si>
    <t>Device/Location name:</t>
  </si>
  <si>
    <t>INSTRUCTIONS</t>
  </si>
  <si>
    <t>Number of base rows</t>
  </si>
  <si>
    <t>Go to the app on your phone (Qingping+ or Qingping IoT), click on the monitor/settings and then 'export historical data'</t>
  </si>
  <si>
    <t>RESULTS</t>
  </si>
  <si>
    <t>KEY DATA TABLE</t>
  </si>
  <si>
    <t>If the moisture in the air is a result of a leak, fix the leak as soon as you can and dry/air out the damp spots</t>
  </si>
  <si>
    <t>The titles and columns must remain unchanged</t>
  </si>
  <si>
    <t>Be sure that the values are in the correct column, ie Date/Time in column A, Temp in column B and Humidity in column C</t>
  </si>
  <si>
    <t>Only Columns ABC needed for this formula to work. The other columns can be ignored if not using a Smart Air monitor</t>
  </si>
  <si>
    <t>Paste monitor data over the row 2</t>
  </si>
  <si>
    <t>Open source calculator: Created by Smart Air UK using data from the research paper 'Modelling mould growth in domestic environments using relative humidity and temperature', 2022 (Menneer, Mueller, Sharpe, Townley)</t>
  </si>
  <si>
    <t>[NAME]</t>
  </si>
  <si>
    <t>[DEVICE NAME]</t>
  </si>
  <si>
    <t>Historical Risk</t>
  </si>
  <si>
    <t>HISTORICAL AVERAGES TABLE</t>
  </si>
  <si>
    <t>DATE</t>
  </si>
  <si>
    <t>VERSION</t>
  </si>
  <si>
    <t>IMPORTANT</t>
  </si>
  <si>
    <t>VERSION CONTROL</t>
  </si>
  <si>
    <t>Version</t>
  </si>
  <si>
    <t>v1</t>
  </si>
  <si>
    <t>v1.1</t>
  </si>
  <si>
    <t>v1.2</t>
  </si>
  <si>
    <t>Claire Rush</t>
  </si>
  <si>
    <t>Smart Air UK</t>
  </si>
  <si>
    <t>Sharon Isaac-Upton</t>
  </si>
  <si>
    <t>CREATORS</t>
  </si>
  <si>
    <t>Accuracy levels of around 70% are assumed based on the research paper</t>
  </si>
  <si>
    <t>Excel formulas based on research paper calculations</t>
  </si>
  <si>
    <t>Future expectancy added</t>
  </si>
  <si>
    <t>Notes and formatting changed to make more user friendl,y</t>
  </si>
  <si>
    <t>Version notes</t>
  </si>
  <si>
    <t>LINK TO CALCULATOR</t>
  </si>
  <si>
    <t>Using the final row number taken from step 3, go to the Key Data table under NUMBER OF BASE ROWS and enter this number. This will tell you how many rows you need to have on the Calculations table</t>
  </si>
  <si>
    <t>Put your cursor in the cell of the last row, last column of the Calculations table, you will see a square on the bottom right corner. Take this and drag it down to the number of rows needed from Step 3</t>
  </si>
  <si>
    <t>Once you have the correct number of rows on the Calculations table, you will see the results</t>
  </si>
  <si>
    <t>https://www.sciencedirect.com/science/article/pii/S0360132321009756
https://web.ornl.gov/sci/buildings/2016/docs/presentations/workshops/workshop-5/Workshop5_OjanenViitanen_Eqs.pdf
https://web.ornl.gov/sci/buildings/2016/docs/presentations/workshops/workshop-5/Workshop5_OjananViitanen.pdf
https://bwk.kuleuven.be/bwf/projects/annex41/protected/data/VTT%20Oct%202007%20Paper%20A41-T4-Fin-07-1.pdf</t>
  </si>
  <si>
    <t>[add google link to this calculator]</t>
  </si>
  <si>
    <t>SMART AIR UK - Mould Risk Calculator</t>
  </si>
  <si>
    <t xml:space="preserve">RESOURCES
</t>
  </si>
  <si>
    <t>This formula from the research paper was for wood surface humidity but the data is based on airborne humidity</t>
  </si>
  <si>
    <t>In the absence of other information, the starting mould level within each home is assumed to be zero</t>
  </si>
  <si>
    <t>This calculator works with data from the Smart Air CO2 monitor and the QP Lites &amp; Pro where incremental data is 1,5,15 minutes. Any other increments (or inconsistent increments in your data) will skew the data. Designed to work with data from 24 hours to 1 year, this calculator can also work with other air monitors if you paste data in the correct columns in the Base Data (see instructions below)</t>
  </si>
  <si>
    <t>This file contains two active sheets, BASE DATA (for pasting raw data) and the MOULD CALCULATOR</t>
  </si>
  <si>
    <t>TIPS TO REDUCE YOUR RISK OF MOULD</t>
  </si>
  <si>
    <t>Try to maintain a consistent room temperature of around 20 °C, and avoid letting it drop below 16</t>
  </si>
  <si>
    <t>The humidity should be between 30 and 60%, any higher and there is too much moisture in the air</t>
  </si>
  <si>
    <t>The Historical Averages table shows your mould risk at key intervals which may explain why it is low when you expected it to be high. Lifestyle changes and seasons can make a difference to your data</t>
  </si>
  <si>
    <t>The Mould Calculator table shows your 'current' risk and is based on your most recent data</t>
  </si>
  <si>
    <t>If high moisture is a result of condensation, we have some great tips: https://smartairfilters.com/uk/en/2023/09/20/7-essential-tips-and-3-tools-to-prevent-condensation-based-mould/</t>
  </si>
  <si>
    <r>
      <rPr>
        <b/>
        <sz val="12"/>
        <rFont val="Calibri"/>
        <family val="2"/>
        <scheme val="minor"/>
      </rPr>
      <t>Disclaimer</t>
    </r>
    <r>
      <rPr>
        <sz val="12"/>
        <rFont val="Calibri"/>
        <family val="2"/>
        <scheme val="minor"/>
      </rPr>
      <t>: This tool is provided for informational and educational purposes only. Users should acknowledge that this formula is not 100% accurate and that each building and situation is unique. If the results are not as expected, please read the notes on the Mould Calculator sheet</t>
    </r>
  </si>
  <si>
    <t>Go to the Base Data sheet and paste your data over any previous data. Take a note of the final row number (use Control ‘down’ arrow to jump to the last row) and then go to the Mould Calculator sheet</t>
  </si>
  <si>
    <t>On the Key Data table under DATA INTERVALS and enter 1, 5 or 15 in the yellow box labelled 'Data Intervals'. This should be the same as the 'Interval of Recording' which can be found in the settings of your app – note this calculator will only work with intervals of 1,5,15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</si>
</sst>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d\ mmmm\ yyyy;@"/>
    <numFmt numFmtId="171" formatCode="dd/mm/yyyy;@"/>
  </numFmts>
  <fonts count="32" x14ac:knownFonts="1">
    <font>
      <sz val="11"/>
      <color theme="1"/>
      <name val="Calibri"/>
      <family val="2"/>
      <scheme val="minor"/>
    </font>
    <font>
      <sz val="12"/>
      <color theme="1"/>
      <name val="Calibri"/>
      <family val="2"/>
      <scheme val="minor"/>
    </font>
    <font>
      <b/>
      <sz val="11"/>
      <color theme="1"/>
      <name val="Calibri"/>
      <family val="2"/>
      <scheme val="minor"/>
    </font>
    <font>
      <sz val="11"/>
      <color rgb="FF000000"/>
      <name val="Calibri"/>
      <family val="2"/>
    </font>
    <font>
      <sz val="11"/>
      <color rgb="FF444444"/>
      <name val="Calibri"/>
      <family val="2"/>
      <charset val="1"/>
    </font>
    <font>
      <sz val="11"/>
      <color rgb="FF000000"/>
      <name val="Calibri"/>
      <family val="2"/>
    </font>
    <font>
      <sz val="11"/>
      <color rgb="FF000000"/>
      <name val="Calibri"/>
      <family val="2"/>
      <scheme val="minor"/>
    </font>
    <font>
      <b/>
      <sz val="11"/>
      <color theme="0"/>
      <name val="Calibri"/>
      <family val="2"/>
      <scheme val="minor"/>
    </font>
    <font>
      <sz val="11"/>
      <color rgb="FF000000"/>
      <name val="Calibri"/>
      <family val="2"/>
    </font>
    <font>
      <sz val="11"/>
      <color rgb="FF444444"/>
      <name val="Consolas"/>
      <family val="2"/>
    </font>
    <font>
      <sz val="11"/>
      <color rgb="FF444444"/>
      <name val="Consolas"/>
      <family val="2"/>
    </font>
    <font>
      <b/>
      <sz val="14"/>
      <color theme="1"/>
      <name val="Calibri"/>
      <family val="2"/>
      <scheme val="minor"/>
    </font>
    <font>
      <i/>
      <sz val="11"/>
      <color theme="1"/>
      <name val="Calibri"/>
      <family val="2"/>
      <scheme val="minor"/>
    </font>
    <font>
      <sz val="11"/>
      <color theme="1"/>
      <name val="Calibri"/>
      <family val="2"/>
      <scheme val="minor"/>
    </font>
    <font>
      <b/>
      <sz val="14"/>
      <color theme="0"/>
      <name val="Calibri"/>
      <family val="2"/>
      <scheme val="minor"/>
    </font>
    <font>
      <b/>
      <sz val="11"/>
      <color rgb="FFFF0000"/>
      <name val="Calibri"/>
      <family val="2"/>
      <scheme val="minor"/>
    </font>
    <font>
      <sz val="8"/>
      <name val="Calibri"/>
      <family val="2"/>
      <scheme val="minor"/>
    </font>
    <font>
      <sz val="11"/>
      <color theme="0"/>
      <name val="Calibri"/>
      <family val="2"/>
    </font>
    <font>
      <sz val="11"/>
      <color rgb="FFFF0000"/>
      <name val="Calibri"/>
      <family val="2"/>
      <scheme val="minor"/>
    </font>
    <font>
      <b/>
      <sz val="11"/>
      <color rgb="FFFF0000"/>
      <name val="Calibri"/>
      <family val="2"/>
    </font>
    <font>
      <sz val="12"/>
      <color rgb="FFFF0000"/>
      <name val="Calibri"/>
      <family val="2"/>
      <scheme val="minor"/>
    </font>
    <font>
      <b/>
      <sz val="12"/>
      <color theme="1"/>
      <name val="Calibri"/>
      <family val="2"/>
      <scheme val="minor"/>
    </font>
    <font>
      <u/>
      <sz val="11"/>
      <color theme="10"/>
      <name val="Calibri"/>
      <family val="2"/>
      <scheme val="minor"/>
    </font>
    <font>
      <b/>
      <sz val="11"/>
      <name val="Calibri"/>
      <family val="2"/>
      <scheme val="minor"/>
    </font>
    <font>
      <sz val="11"/>
      <name val="Calibri"/>
      <family val="2"/>
      <scheme val="minor"/>
    </font>
    <font>
      <b/>
      <sz val="12"/>
      <color rgb="FFFFFFFF"/>
      <name val="Calibri"/>
      <family val="2"/>
      <scheme val="minor"/>
    </font>
    <font>
      <i/>
      <sz val="12"/>
      <color theme="1"/>
      <name val="Calibri"/>
      <family val="2"/>
      <scheme val="minor"/>
    </font>
    <font>
      <u/>
      <sz val="12"/>
      <color rgb="FF1155CC"/>
      <name val="Calibri"/>
      <family val="2"/>
      <scheme val="minor"/>
    </font>
    <font>
      <b/>
      <sz val="12"/>
      <name val="Calibri"/>
      <family val="2"/>
      <scheme val="minor"/>
    </font>
    <font>
      <sz val="12"/>
      <name val="Calibri"/>
      <family val="2"/>
      <scheme val="minor"/>
    </font>
    <font>
      <u/>
      <sz val="12"/>
      <color theme="10"/>
      <name val="Calibri"/>
      <family val="2"/>
      <scheme val="minor"/>
    </font>
    <font>
      <b/>
      <sz val="12"/>
      <color rgb="FFFF00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4"/>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249977111117893"/>
        <bgColor rgb="FF3122A9"/>
      </patternFill>
    </fill>
  </fills>
  <borders count="16">
    <border>
      <left/>
      <right/>
      <top/>
      <bottom/>
      <diagonal/>
    </border>
    <border>
      <left style="thin">
        <color theme="4" tint="0.39997558519241921"/>
      </left>
      <right/>
      <top style="thin">
        <color theme="4" tint="0.39997558519241921"/>
      </top>
      <bottom style="thin">
        <color theme="4" tint="0.3999755851924192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theme="0"/>
      </top>
      <bottom/>
      <diagonal/>
    </border>
  </borders>
  <cellStyleXfs count="3">
    <xf numFmtId="0" fontId="0" fillId="0" borderId="0"/>
    <xf numFmtId="9" fontId="13" fillId="0" borderId="0" applyFont="0" applyFill="0" applyBorder="0" applyAlignment="0" applyProtection="0"/>
    <xf numFmtId="0" fontId="22" fillId="0" borderId="0" applyNumberFormat="0" applyFill="0" applyBorder="0" applyAlignment="0" applyProtection="0"/>
  </cellStyleXfs>
  <cellXfs count="70">
    <xf numFmtId="0" fontId="0" fillId="0" borderId="0" xfId="0"/>
    <xf numFmtId="0" fontId="2" fillId="0" borderId="0" xfId="0" applyFont="1"/>
    <xf numFmtId="14" fontId="0" fillId="0" borderId="0" xfId="0" applyNumberFormat="1"/>
    <xf numFmtId="0" fontId="5" fillId="0" borderId="0" xfId="0" applyFont="1"/>
    <xf numFmtId="0" fontId="4" fillId="0" borderId="0" xfId="0" quotePrefix="1" applyFont="1"/>
    <xf numFmtId="0" fontId="0" fillId="2" borderId="0" xfId="0" applyFill="1"/>
    <xf numFmtId="10" fontId="0" fillId="3" borderId="0" xfId="0" applyNumberFormat="1" applyFill="1"/>
    <xf numFmtId="0" fontId="7" fillId="4" borderId="0" xfId="0" applyFont="1" applyFill="1"/>
    <xf numFmtId="10" fontId="0" fillId="0" borderId="0" xfId="0" applyNumberFormat="1"/>
    <xf numFmtId="0" fontId="8" fillId="0" borderId="0" xfId="0" applyFont="1"/>
    <xf numFmtId="0" fontId="9" fillId="0" borderId="0" xfId="0" applyFont="1"/>
    <xf numFmtId="0" fontId="10" fillId="0" borderId="0" xfId="0" applyFont="1"/>
    <xf numFmtId="0" fontId="3" fillId="0" borderId="0" xfId="0" applyFont="1"/>
    <xf numFmtId="164" fontId="0" fillId="0" borderId="0" xfId="0" applyNumberFormat="1"/>
    <xf numFmtId="1" fontId="0" fillId="0" borderId="0" xfId="0" applyNumberFormat="1"/>
    <xf numFmtId="0" fontId="0" fillId="2" borderId="1" xfId="0" applyFill="1" applyBorder="1"/>
    <xf numFmtId="0" fontId="2" fillId="6" borderId="4" xfId="0" applyFont="1" applyFill="1" applyBorder="1" applyAlignment="1">
      <alignment vertical="center"/>
    </xf>
    <xf numFmtId="0" fontId="15" fillId="6" borderId="5" xfId="0" applyFont="1" applyFill="1" applyBorder="1" applyAlignment="1">
      <alignment horizontal="center" vertical="center"/>
    </xf>
    <xf numFmtId="0" fontId="0" fillId="6" borderId="4" xfId="0" applyFill="1" applyBorder="1" applyAlignment="1">
      <alignment vertical="center"/>
    </xf>
    <xf numFmtId="0" fontId="0" fillId="6" borderId="5" xfId="0" applyFill="1" applyBorder="1" applyAlignment="1">
      <alignment horizontal="center" vertical="center"/>
    </xf>
    <xf numFmtId="9" fontId="11" fillId="6" borderId="5" xfId="1" applyFont="1" applyFill="1" applyBorder="1" applyAlignment="1">
      <alignment horizontal="center" vertical="center"/>
    </xf>
    <xf numFmtId="0" fontId="12" fillId="6" borderId="4" xfId="0" applyFont="1" applyFill="1" applyBorder="1" applyAlignment="1">
      <alignment vertical="center"/>
    </xf>
    <xf numFmtId="1" fontId="11" fillId="6" borderId="5" xfId="0" applyNumberFormat="1" applyFont="1" applyFill="1" applyBorder="1" applyAlignment="1">
      <alignment horizontal="center" vertical="center"/>
    </xf>
    <xf numFmtId="0" fontId="12" fillId="6" borderId="6" xfId="0" applyFont="1" applyFill="1" applyBorder="1" applyAlignment="1">
      <alignment vertical="center"/>
    </xf>
    <xf numFmtId="0" fontId="0" fillId="6" borderId="7" xfId="0" applyFill="1" applyBorder="1" applyAlignment="1">
      <alignment horizontal="center" vertical="center"/>
    </xf>
    <xf numFmtId="14" fontId="17" fillId="0" borderId="0" xfId="0" applyNumberFormat="1" applyFont="1"/>
    <xf numFmtId="0" fontId="17" fillId="0" borderId="0" xfId="0" applyFont="1"/>
    <xf numFmtId="0" fontId="15" fillId="0" borderId="0" xfId="0" applyFont="1" applyAlignment="1">
      <alignment vertical="center"/>
    </xf>
    <xf numFmtId="0" fontId="18" fillId="0" borderId="0" xfId="0" applyFont="1"/>
    <xf numFmtId="0" fontId="11" fillId="0" borderId="8" xfId="0" applyFont="1" applyBorder="1" applyAlignment="1">
      <alignment horizontal="center" vertical="center"/>
    </xf>
    <xf numFmtId="0" fontId="19" fillId="0" borderId="0" xfId="0" applyFont="1"/>
    <xf numFmtId="0" fontId="14" fillId="5" borderId="2" xfId="0" applyFont="1" applyFill="1" applyBorder="1" applyAlignment="1">
      <alignment horizontal="center" vertical="center"/>
    </xf>
    <xf numFmtId="0" fontId="14" fillId="5" borderId="3" xfId="0" applyFont="1" applyFill="1" applyBorder="1" applyAlignment="1">
      <alignment horizontal="center" vertical="center"/>
    </xf>
    <xf numFmtId="0" fontId="12" fillId="0" borderId="0" xfId="0" applyFont="1"/>
    <xf numFmtId="0" fontId="0" fillId="0" borderId="0" xfId="0" applyAlignment="1">
      <alignment vertical="center"/>
    </xf>
    <xf numFmtId="0" fontId="0" fillId="0" borderId="0" xfId="0" applyAlignment="1">
      <alignment horizontal="left" vertical="center"/>
    </xf>
    <xf numFmtId="0" fontId="23" fillId="0" borderId="0" xfId="0" applyFont="1" applyAlignment="1">
      <alignment vertical="center"/>
    </xf>
    <xf numFmtId="0" fontId="24" fillId="0" borderId="0" xfId="0" applyFont="1" applyAlignment="1">
      <alignment horizontal="left" vertical="center"/>
    </xf>
    <xf numFmtId="0" fontId="21" fillId="0" borderId="9" xfId="0" applyFont="1" applyBorder="1" applyAlignment="1">
      <alignment vertical="center"/>
    </xf>
    <xf numFmtId="0" fontId="1" fillId="0" borderId="9" xfId="0" applyFont="1" applyFill="1" applyBorder="1" applyAlignment="1">
      <alignment vertical="center"/>
    </xf>
    <xf numFmtId="0" fontId="1" fillId="0" borderId="9" xfId="0" applyFont="1" applyBorder="1" applyAlignment="1">
      <alignment vertical="center"/>
    </xf>
    <xf numFmtId="14" fontId="1" fillId="0" borderId="9" xfId="0" applyNumberFormat="1" applyFont="1" applyBorder="1" applyAlignment="1">
      <alignment vertical="center"/>
    </xf>
    <xf numFmtId="0" fontId="1" fillId="0" borderId="9" xfId="0" applyFont="1" applyBorder="1" applyAlignment="1">
      <alignment horizontal="right" vertical="center"/>
    </xf>
    <xf numFmtId="0" fontId="27" fillId="0" borderId="9" xfId="0" applyFont="1" applyBorder="1" applyAlignment="1">
      <alignment vertical="center"/>
    </xf>
    <xf numFmtId="0" fontId="1" fillId="7" borderId="9" xfId="0" applyFont="1" applyFill="1" applyBorder="1" applyAlignment="1">
      <alignment horizontal="left" vertical="center"/>
    </xf>
    <xf numFmtId="0" fontId="1" fillId="0" borderId="9" xfId="0" applyFont="1" applyBorder="1" applyAlignment="1">
      <alignment horizontal="left" vertical="center"/>
    </xf>
    <xf numFmtId="0" fontId="29" fillId="0" borderId="9" xfId="0" applyFont="1" applyBorder="1" applyAlignment="1">
      <alignment horizontal="left" vertical="center" wrapText="1"/>
    </xf>
    <xf numFmtId="0" fontId="21" fillId="0" borderId="9" xfId="0" applyFont="1" applyBorder="1" applyAlignment="1">
      <alignment horizontal="left" vertical="center"/>
    </xf>
    <xf numFmtId="0" fontId="30" fillId="0" borderId="9" xfId="2" applyFont="1" applyBorder="1" applyAlignment="1">
      <alignment horizontal="left" vertical="center" wrapText="1"/>
    </xf>
    <xf numFmtId="0" fontId="30" fillId="0" borderId="9" xfId="2" applyFont="1" applyBorder="1" applyAlignment="1">
      <alignment horizontal="left" vertical="center"/>
    </xf>
    <xf numFmtId="0" fontId="21" fillId="0" borderId="9" xfId="0" applyFont="1" applyBorder="1" applyAlignment="1">
      <alignment horizontal="left" vertical="center"/>
    </xf>
    <xf numFmtId="0" fontId="1" fillId="0" borderId="9" xfId="0" applyFont="1" applyBorder="1" applyAlignment="1">
      <alignment horizontal="left" vertical="center"/>
    </xf>
    <xf numFmtId="171" fontId="1" fillId="0" borderId="9" xfId="0" applyNumberFormat="1" applyFont="1" applyBorder="1" applyAlignment="1">
      <alignment horizontal="left" vertical="center"/>
    </xf>
    <xf numFmtId="0" fontId="1" fillId="0" borderId="0" xfId="0" applyFont="1" applyBorder="1"/>
    <xf numFmtId="0" fontId="1" fillId="0" borderId="0" xfId="0" applyFont="1"/>
    <xf numFmtId="0" fontId="20" fillId="0" borderId="9" xfId="0" applyFont="1" applyBorder="1" applyAlignment="1">
      <alignment horizontal="left" vertical="center" wrapText="1"/>
    </xf>
    <xf numFmtId="0" fontId="20" fillId="0" borderId="9" xfId="0" applyFont="1" applyBorder="1" applyAlignment="1">
      <alignment horizontal="left" vertical="center"/>
    </xf>
    <xf numFmtId="0" fontId="25" fillId="8" borderId="0" xfId="0" applyFont="1" applyFill="1" applyBorder="1" applyAlignment="1">
      <alignment horizontal="left" vertical="center"/>
    </xf>
    <xf numFmtId="0" fontId="26" fillId="0" borderId="0" xfId="0" applyFont="1" applyFill="1" applyBorder="1" applyAlignment="1">
      <alignment horizontal="left" vertical="top" wrapText="1"/>
    </xf>
    <xf numFmtId="0" fontId="31" fillId="0" borderId="12" xfId="0" applyFont="1" applyBorder="1" applyAlignment="1">
      <alignment vertical="center"/>
    </xf>
    <xf numFmtId="0" fontId="20" fillId="0" borderId="11" xfId="0" applyFont="1" applyBorder="1" applyAlignment="1">
      <alignment vertical="center"/>
    </xf>
    <xf numFmtId="0" fontId="20" fillId="0" borderId="15" xfId="0" applyFont="1" applyBorder="1" applyAlignment="1">
      <alignment vertical="center"/>
    </xf>
    <xf numFmtId="0" fontId="21" fillId="0" borderId="9" xfId="0" applyFont="1" applyBorder="1" applyAlignment="1">
      <alignment horizontal="left" vertical="center" wrapText="1"/>
    </xf>
    <xf numFmtId="0" fontId="24" fillId="0" borderId="0" xfId="0" applyFont="1"/>
    <xf numFmtId="0" fontId="23" fillId="0" borderId="0" xfId="0" applyFont="1"/>
    <xf numFmtId="0" fontId="24" fillId="0" borderId="0" xfId="0" applyFont="1" applyAlignment="1">
      <alignment vertical="center"/>
    </xf>
    <xf numFmtId="0" fontId="28" fillId="0" borderId="13" xfId="0" applyFont="1" applyBorder="1" applyAlignment="1">
      <alignment vertical="center"/>
    </xf>
    <xf numFmtId="0" fontId="29" fillId="0" borderId="13" xfId="0" applyFont="1" applyBorder="1" applyAlignment="1">
      <alignment vertical="center"/>
    </xf>
    <xf numFmtId="0" fontId="29" fillId="0" borderId="14" xfId="0" applyFont="1" applyBorder="1" applyAlignment="1">
      <alignment vertical="center"/>
    </xf>
    <xf numFmtId="0" fontId="29" fillId="0" borderId="10" xfId="0" applyFont="1" applyBorder="1" applyAlignment="1">
      <alignment vertical="center"/>
    </xf>
  </cellXfs>
  <cellStyles count="3">
    <cellStyle name="Hyperlink" xfId="2" builtinId="8"/>
    <cellStyle name="Normal" xfId="0" builtinId="0"/>
    <cellStyle name="Per cent" xfId="1" builtinId="5"/>
  </cellStyles>
  <dxfs count="32">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b/>
        <i val="0"/>
        <color theme="0"/>
      </font>
      <fill>
        <patternFill>
          <bgColor rgb="FFC00000"/>
        </patternFill>
      </fill>
    </dxf>
    <dxf>
      <numFmt numFmtId="14" formatCode="0.00%"/>
    </dxf>
    <dxf>
      <fill>
        <patternFill patternType="solid">
          <fgColor indexed="64"/>
          <bgColor rgb="FFFFFF00"/>
        </patternFill>
      </fill>
      <border diagonalUp="0" diagonalDown="0">
        <left style="thin">
          <color theme="4" tint="0.39997558519241921"/>
        </left>
        <right/>
        <top style="thin">
          <color theme="4" tint="0.39997558519241921"/>
        </top>
        <bottom style="thin">
          <color theme="4" tint="0.39997558519241921"/>
        </bottom>
        <vertical/>
        <horizontal/>
      </border>
    </dxf>
    <dxf>
      <numFmt numFmtId="0" formatCode="General"/>
    </dxf>
    <dxf>
      <numFmt numFmtId="0" formatCode="General"/>
    </dxf>
    <dxf>
      <numFmt numFmtId="14" formatCode="0.00%"/>
    </dxf>
    <dxf>
      <numFmt numFmtId="1" formatCode="0"/>
    </dxf>
    <dxf>
      <numFmt numFmtId="19" formatCode="dd/mm/yyyy"/>
    </dxf>
    <dxf>
      <numFmt numFmtId="164" formatCode="[$-809]dd\ mmmm\ yyyy;@"/>
    </dxf>
    <dxf>
      <numFmt numFmtId="19" formatCode="dd/mm/yyyy"/>
    </dxf>
    <dxf>
      <numFmt numFmtId="0" formatCode="General"/>
    </dxf>
    <dxf>
      <numFmt numFmtId="0" formatCode="General"/>
    </dxf>
    <dxf>
      <numFmt numFmtId="0" formatCode="General"/>
    </dxf>
    <dxf>
      <numFmt numFmtId="0" formatCode="General"/>
    </dxf>
    <dxf>
      <numFmt numFmtId="14" formatCode="0.00%"/>
      <fill>
        <patternFill patternType="solid">
          <fgColor indexed="64"/>
          <bgColor rgb="FF92D050"/>
        </patternFill>
      </fill>
    </dxf>
    <dxf>
      <fill>
        <patternFill patternType="none"/>
      </fil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numFmt numFmtId="19" formatCode="dd/mm/yy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0"/>
        <name val="Calibri"/>
        <family val="2"/>
        <scheme val="none"/>
      </font>
      <fill>
        <patternFill patternType="none">
          <fgColor indexed="64"/>
          <bgColor indexed="65"/>
        </patternFill>
      </fill>
      <alignment horizontal="general"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5</xdr:col>
      <xdr:colOff>215900</xdr:colOff>
      <xdr:row>0</xdr:row>
      <xdr:rowOff>0</xdr:rowOff>
    </xdr:from>
    <xdr:to>
      <xdr:col>12</xdr:col>
      <xdr:colOff>520700</xdr:colOff>
      <xdr:row>9</xdr:row>
      <xdr:rowOff>361950</xdr:rowOff>
    </xdr:to>
    <xdr:pic>
      <xdr:nvPicPr>
        <xdr:cNvPr id="2" name="Picture 1">
          <a:extLst>
            <a:ext uri="{FF2B5EF4-FFF2-40B4-BE49-F238E27FC236}">
              <a16:creationId xmlns:a16="http://schemas.microsoft.com/office/drawing/2014/main" id="{87CAC7E5-8ED0-2A4D-A153-56FB2EF85A4C}"/>
            </a:ext>
          </a:extLst>
        </xdr:cNvPr>
        <xdr:cNvPicPr>
          <a:picLocks noChangeAspect="1"/>
        </xdr:cNvPicPr>
      </xdr:nvPicPr>
      <xdr:blipFill>
        <a:blip xmlns:r="http://schemas.openxmlformats.org/officeDocument/2006/relationships" r:embed="rId1"/>
        <a:stretch>
          <a:fillRect/>
        </a:stretch>
      </xdr:blipFill>
      <xdr:spPr>
        <a:xfrm>
          <a:off x="9296400" y="0"/>
          <a:ext cx="5016500" cy="3752850"/>
        </a:xfrm>
        <a:prstGeom prst="rect">
          <a:avLst/>
        </a:prstGeom>
      </xdr:spPr>
    </xdr:pic>
    <xdr:clientData/>
  </xdr:twoCellAnchor>
  <xdr:twoCellAnchor editAs="oneCell">
    <xdr:from>
      <xdr:col>5</xdr:col>
      <xdr:colOff>228600</xdr:colOff>
      <xdr:row>9</xdr:row>
      <xdr:rowOff>342900</xdr:rowOff>
    </xdr:from>
    <xdr:to>
      <xdr:col>12</xdr:col>
      <xdr:colOff>533400</xdr:colOff>
      <xdr:row>14</xdr:row>
      <xdr:rowOff>41275</xdr:rowOff>
    </xdr:to>
    <xdr:pic>
      <xdr:nvPicPr>
        <xdr:cNvPr id="3" name="Picture 2">
          <a:extLst>
            <a:ext uri="{FF2B5EF4-FFF2-40B4-BE49-F238E27FC236}">
              <a16:creationId xmlns:a16="http://schemas.microsoft.com/office/drawing/2014/main" id="{1A24EDB6-6DC5-AE4D-9ACD-5CCBA032A09E}"/>
            </a:ext>
            <a:ext uri="{147F2762-F138-4A5C-976F-8EAC2B608ADB}">
              <a16:predDERef xmlns:a16="http://schemas.microsoft.com/office/drawing/2014/main" pred="{F7D59771-E9CE-47DE-A350-CDECE6E45B6E}"/>
            </a:ext>
          </a:extLst>
        </xdr:cNvPr>
        <xdr:cNvPicPr>
          <a:picLocks noChangeAspect="1"/>
        </xdr:cNvPicPr>
      </xdr:nvPicPr>
      <xdr:blipFill>
        <a:blip xmlns:r="http://schemas.openxmlformats.org/officeDocument/2006/relationships" r:embed="rId2"/>
        <a:stretch>
          <a:fillRect/>
        </a:stretch>
      </xdr:blipFill>
      <xdr:spPr>
        <a:xfrm>
          <a:off x="8699500" y="3987800"/>
          <a:ext cx="5016500" cy="1704975"/>
        </a:xfrm>
        <a:prstGeom prst="rect">
          <a:avLst/>
        </a:prstGeom>
      </xdr:spPr>
    </xdr:pic>
    <xdr:clientData/>
  </xdr:twoCellAnchor>
  <xdr:twoCellAnchor editAs="oneCell">
    <xdr:from>
      <xdr:col>5</xdr:col>
      <xdr:colOff>292100</xdr:colOff>
      <xdr:row>13</xdr:row>
      <xdr:rowOff>393700</xdr:rowOff>
    </xdr:from>
    <xdr:to>
      <xdr:col>12</xdr:col>
      <xdr:colOff>596900</xdr:colOff>
      <xdr:row>18</xdr:row>
      <xdr:rowOff>146050</xdr:rowOff>
    </xdr:to>
    <xdr:pic>
      <xdr:nvPicPr>
        <xdr:cNvPr id="4" name="Picture 3">
          <a:extLst>
            <a:ext uri="{FF2B5EF4-FFF2-40B4-BE49-F238E27FC236}">
              <a16:creationId xmlns:a16="http://schemas.microsoft.com/office/drawing/2014/main" id="{CDDC7939-58FE-C64D-AC4A-605BB0402667}"/>
            </a:ext>
            <a:ext uri="{147F2762-F138-4A5C-976F-8EAC2B608ADB}">
              <a16:predDERef xmlns:a16="http://schemas.microsoft.com/office/drawing/2014/main" pred="{C9818E70-08EE-7216-43B3-258B4D2F4961}"/>
            </a:ext>
          </a:extLst>
        </xdr:cNvPr>
        <xdr:cNvPicPr>
          <a:picLocks noChangeAspect="1"/>
        </xdr:cNvPicPr>
      </xdr:nvPicPr>
      <xdr:blipFill>
        <a:blip xmlns:r="http://schemas.openxmlformats.org/officeDocument/2006/relationships" r:embed="rId3"/>
        <a:stretch>
          <a:fillRect/>
        </a:stretch>
      </xdr:blipFill>
      <xdr:spPr>
        <a:xfrm>
          <a:off x="8763000" y="5410200"/>
          <a:ext cx="5016500" cy="1962150"/>
        </a:xfrm>
        <a:prstGeom prst="rect">
          <a:avLst/>
        </a:prstGeom>
      </xdr:spPr>
    </xdr:pic>
    <xdr:clientData/>
  </xdr:twoCellAnchor>
  <xdr:twoCellAnchor editAs="oneCell">
    <xdr:from>
      <xdr:col>5</xdr:col>
      <xdr:colOff>288925</xdr:colOff>
      <xdr:row>17</xdr:row>
      <xdr:rowOff>76200</xdr:rowOff>
    </xdr:from>
    <xdr:to>
      <xdr:col>12</xdr:col>
      <xdr:colOff>593725</xdr:colOff>
      <xdr:row>26</xdr:row>
      <xdr:rowOff>196850</xdr:rowOff>
    </xdr:to>
    <xdr:pic>
      <xdr:nvPicPr>
        <xdr:cNvPr id="5" name="Picture 4">
          <a:extLst>
            <a:ext uri="{FF2B5EF4-FFF2-40B4-BE49-F238E27FC236}">
              <a16:creationId xmlns:a16="http://schemas.microsoft.com/office/drawing/2014/main" id="{C3D096B5-F87A-5144-A90D-819699170AE6}"/>
            </a:ext>
            <a:ext uri="{147F2762-F138-4A5C-976F-8EAC2B608ADB}">
              <a16:predDERef xmlns:a16="http://schemas.microsoft.com/office/drawing/2014/main" pred="{7A97971A-35FE-2324-1127-2BCD0A43A996}"/>
            </a:ext>
          </a:extLst>
        </xdr:cNvPr>
        <xdr:cNvPicPr>
          <a:picLocks noChangeAspect="1"/>
        </xdr:cNvPicPr>
      </xdr:nvPicPr>
      <xdr:blipFill>
        <a:blip xmlns:r="http://schemas.openxmlformats.org/officeDocument/2006/relationships" r:embed="rId4"/>
        <a:stretch>
          <a:fillRect/>
        </a:stretch>
      </xdr:blipFill>
      <xdr:spPr>
        <a:xfrm>
          <a:off x="8759825" y="7505700"/>
          <a:ext cx="5016500" cy="2800350"/>
        </a:xfrm>
        <a:prstGeom prst="rect">
          <a:avLst/>
        </a:prstGeom>
      </xdr:spPr>
    </xdr:pic>
    <xdr:clientData/>
  </xdr:twoCellAnchor>
  <xdr:twoCellAnchor editAs="oneCell">
    <xdr:from>
      <xdr:col>13</xdr:col>
      <xdr:colOff>0</xdr:colOff>
      <xdr:row>0</xdr:row>
      <xdr:rowOff>88900</xdr:rowOff>
    </xdr:from>
    <xdr:to>
      <xdr:col>20</xdr:col>
      <xdr:colOff>304800</xdr:colOff>
      <xdr:row>11</xdr:row>
      <xdr:rowOff>307975</xdr:rowOff>
    </xdr:to>
    <xdr:pic>
      <xdr:nvPicPr>
        <xdr:cNvPr id="6" name="Picture 5">
          <a:extLst>
            <a:ext uri="{FF2B5EF4-FFF2-40B4-BE49-F238E27FC236}">
              <a16:creationId xmlns:a16="http://schemas.microsoft.com/office/drawing/2014/main" id="{D2B864B6-65FE-0E4B-ABCA-944C13A2E257}"/>
            </a:ext>
            <a:ext uri="{147F2762-F138-4A5C-976F-8EAC2B608ADB}">
              <a16:predDERef xmlns:a16="http://schemas.microsoft.com/office/drawing/2014/main" pred="{47949094-F76C-D5B3-42D5-D8C2863A4ED0}"/>
            </a:ext>
          </a:extLst>
        </xdr:cNvPr>
        <xdr:cNvPicPr>
          <a:picLocks noChangeAspect="1"/>
        </xdr:cNvPicPr>
      </xdr:nvPicPr>
      <xdr:blipFill>
        <a:blip xmlns:r="http://schemas.openxmlformats.org/officeDocument/2006/relationships" r:embed="rId5"/>
        <a:stretch>
          <a:fillRect/>
        </a:stretch>
      </xdr:blipFill>
      <xdr:spPr>
        <a:xfrm>
          <a:off x="13855700" y="88900"/>
          <a:ext cx="5016500" cy="4486275"/>
        </a:xfrm>
        <a:prstGeom prst="rect">
          <a:avLst/>
        </a:prstGeom>
      </xdr:spPr>
    </xdr:pic>
    <xdr:clientData/>
  </xdr:twoCellAnchor>
  <xdr:twoCellAnchor editAs="oneCell">
    <xdr:from>
      <xdr:col>13</xdr:col>
      <xdr:colOff>88900</xdr:colOff>
      <xdr:row>15</xdr:row>
      <xdr:rowOff>139700</xdr:rowOff>
    </xdr:from>
    <xdr:to>
      <xdr:col>20</xdr:col>
      <xdr:colOff>393700</xdr:colOff>
      <xdr:row>16</xdr:row>
      <xdr:rowOff>381000</xdr:rowOff>
    </xdr:to>
    <xdr:pic>
      <xdr:nvPicPr>
        <xdr:cNvPr id="7" name="Picture 6">
          <a:extLst>
            <a:ext uri="{FF2B5EF4-FFF2-40B4-BE49-F238E27FC236}">
              <a16:creationId xmlns:a16="http://schemas.microsoft.com/office/drawing/2014/main" id="{1FC50397-6468-A546-B4D1-286A7936F94B}"/>
            </a:ext>
            <a:ext uri="{147F2762-F138-4A5C-976F-8EAC2B608ADB}">
              <a16:predDERef xmlns:a16="http://schemas.microsoft.com/office/drawing/2014/main" pred="{A7FE4256-9615-00CB-B45E-1712C90D3371}"/>
            </a:ext>
          </a:extLst>
        </xdr:cNvPr>
        <xdr:cNvPicPr>
          <a:picLocks noChangeAspect="1"/>
        </xdr:cNvPicPr>
      </xdr:nvPicPr>
      <xdr:blipFill>
        <a:blip xmlns:r="http://schemas.openxmlformats.org/officeDocument/2006/relationships" r:embed="rId6"/>
        <a:stretch>
          <a:fillRect/>
        </a:stretch>
      </xdr:blipFill>
      <xdr:spPr>
        <a:xfrm>
          <a:off x="13944600" y="6680200"/>
          <a:ext cx="5016500" cy="685800"/>
        </a:xfrm>
        <a:prstGeom prst="rect">
          <a:avLst/>
        </a:prstGeom>
      </xdr:spPr>
    </xdr:pic>
    <xdr:clientData/>
  </xdr:twoCellAnchor>
  <xdr:twoCellAnchor editAs="oneCell">
    <xdr:from>
      <xdr:col>12</xdr:col>
      <xdr:colOff>657225</xdr:colOff>
      <xdr:row>10</xdr:row>
      <xdr:rowOff>57150</xdr:rowOff>
    </xdr:from>
    <xdr:to>
      <xdr:col>20</xdr:col>
      <xdr:colOff>288925</xdr:colOff>
      <xdr:row>15</xdr:row>
      <xdr:rowOff>203200</xdr:rowOff>
    </xdr:to>
    <xdr:pic>
      <xdr:nvPicPr>
        <xdr:cNvPr id="8" name="Picture 7">
          <a:extLst>
            <a:ext uri="{FF2B5EF4-FFF2-40B4-BE49-F238E27FC236}">
              <a16:creationId xmlns:a16="http://schemas.microsoft.com/office/drawing/2014/main" id="{A171BD73-7F65-0E4A-B240-B684FA94729B}"/>
            </a:ext>
            <a:ext uri="{147F2762-F138-4A5C-976F-8EAC2B608ADB}">
              <a16:predDERef xmlns:a16="http://schemas.microsoft.com/office/drawing/2014/main" pred="{569E3C0F-7215-2DA3-5E83-447FF2005EF0}"/>
            </a:ext>
          </a:extLst>
        </xdr:cNvPr>
        <xdr:cNvPicPr>
          <a:picLocks noChangeAspect="1"/>
        </xdr:cNvPicPr>
      </xdr:nvPicPr>
      <xdr:blipFill>
        <a:blip xmlns:r="http://schemas.openxmlformats.org/officeDocument/2006/relationships" r:embed="rId7"/>
        <a:stretch>
          <a:fillRect/>
        </a:stretch>
      </xdr:blipFill>
      <xdr:spPr>
        <a:xfrm>
          <a:off x="13839825" y="4591050"/>
          <a:ext cx="5016500" cy="2152650"/>
        </a:xfrm>
        <a:prstGeom prst="rect">
          <a:avLst/>
        </a:prstGeom>
      </xdr:spPr>
    </xdr:pic>
    <xdr:clientData/>
  </xdr:twoCellAnchor>
  <xdr:twoCellAnchor editAs="oneCell">
    <xdr:from>
      <xdr:col>4</xdr:col>
      <xdr:colOff>264314</xdr:colOff>
      <xdr:row>0</xdr:row>
      <xdr:rowOff>12700</xdr:rowOff>
    </xdr:from>
    <xdr:to>
      <xdr:col>4</xdr:col>
      <xdr:colOff>777874</xdr:colOff>
      <xdr:row>1</xdr:row>
      <xdr:rowOff>12700</xdr:rowOff>
    </xdr:to>
    <xdr:pic>
      <xdr:nvPicPr>
        <xdr:cNvPr id="9" name="Picture 8">
          <a:extLst>
            <a:ext uri="{FF2B5EF4-FFF2-40B4-BE49-F238E27FC236}">
              <a16:creationId xmlns:a16="http://schemas.microsoft.com/office/drawing/2014/main" id="{A0EFEA31-5963-1B45-AEB0-501EE29F81B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09714" y="12700"/>
          <a:ext cx="513560" cy="495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15C1B2A-B1FF-4FD3-ACB1-B79B0356DFA9}" name="BaseData" displayName="BaseData" ref="A1:G2" totalsRowShown="0" headerRowDxfId="31" dataDxfId="30">
  <autoFilter ref="A1:G2" xr:uid="{B15C1B2A-B1FF-4FD3-ACB1-B79B0356DFA9}"/>
  <tableColumns count="7">
    <tableColumn id="1" xr3:uid="{63819E13-371E-4A45-8B27-9DEAE42F2175}" name="Time" dataDxfId="29"/>
    <tableColumn id="2" xr3:uid="{4FE56416-796C-4415-9157-C8D604F752B0}" name="Temperature (°C)" dataDxfId="28"/>
    <tableColumn id="3" xr3:uid="{84C23688-9024-4780-B0AF-00D35C61D19C}" name="Humidity (%)" dataDxfId="27"/>
    <tableColumn id="4" xr3:uid="{B1EAC3A7-E56A-494F-9DE3-F9E53E708004}" name="CO2 (ppm)" dataDxfId="26"/>
    <tableColumn id="5" xr3:uid="{D674AF75-0F22-4F6B-AF0C-7DA7C2C46F38}" name="tVOC(ppm)" dataDxfId="25"/>
    <tableColumn id="6" xr3:uid="{4E986816-0318-4646-AE42-A0EAEE8FCC26}" name="PM2.5(μg/m³)" dataDxfId="24"/>
    <tableColumn id="7" xr3:uid="{5FE387A5-D2A7-4D93-B3D2-497354D51330}" name="Type" dataDxfId="2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A33B23E-35C1-4C31-A9C5-817305F31B1E}" name="Table7" displayName="Table7" ref="A1:N2" totalsRowShown="0">
  <autoFilter ref="A1:N2" xr:uid="{9A33B23E-35C1-4C31-A9C5-817305F31B1E}"/>
  <tableColumns count="14">
    <tableColumn id="1" xr3:uid="{E9D14A7B-A1D6-473E-B8D6-6238E016A2FD}" name="Hours passed" dataDxfId="22">
      <calculatedColumnFormula>(ROW(A2)-2) *0.25</calculatedColumnFormula>
    </tableColumn>
    <tableColumn id="2" xr3:uid="{C2C6048F-96FF-4B51-B512-7E9E8F8B596E}" name="Temperature (°C)" dataDxfId="21">
      <calculatedColumnFormula>OFFSET(BaseData[[#This Row],[Temperature (°C)]],(ROW(B1)-1)*(15/$T$14 -1),0)</calculatedColumnFormula>
    </tableColumn>
    <tableColumn id="3" xr3:uid="{35B098B5-E2F0-4F2C-A546-DE88FCE19F5F}" name="Humidity (%)" dataDxfId="20">
      <calculatedColumnFormula>OFFSET(BaseData[[#This Row],[Humidity (%)]],(ROW(C1)-1)*(15/$T$14 -1),0)</calculatedColumnFormula>
    </tableColumn>
    <tableColumn id="8" xr3:uid="{2D341EC6-E071-4E5F-A59F-AC07FF07B44F}" name="RH crit - Critical humidity (Humidity above which mould increases) - %" dataDxfId="19">
      <calculatedColumnFormula xml:space="preserve"> IF(B2&lt;=20, - (0.0026 * B2^3) + (0.16 * B2^2) - 3.13*B2 + 100,$Q$2)</calculatedColumnFormula>
    </tableColumn>
    <tableColumn id="9" xr3:uid="{6A252571-5693-4C55-A824-1D1DC796FB4C}" name="M - Mould index - 0 = no mould, 6 = 100% mould coverage" dataDxfId="18">
      <calculatedColumnFormula xml:space="preserve"> IFERROR(MAX(E1 + (A2-A1) * J1,0),0)</calculatedColumnFormula>
    </tableColumn>
    <tableColumn id="10" xr3:uid="{93649259-5886-40F9-81ED-19F3AD050FAF}" name="M - Mould index %" dataDxfId="17">
      <calculatedColumnFormula xml:space="preserve"> E2/6</calculatedColumnFormula>
    </tableColumn>
    <tableColumn id="11" xr3:uid="{5793DDD9-8E90-4336-B8EE-A7FD1AF772E4}" name="k1 - A constant" dataDxfId="16">
      <calculatedColumnFormula>IF(E2&lt;1,$Q$6,$Q$7)</calculatedColumnFormula>
    </tableColumn>
    <tableColumn id="12" xr3:uid="{72B7AA29-81BF-4EEE-A3CB-5688EEDC83E3}" name="k2 - A constant" dataDxfId="15">
      <calculatedColumnFormula xml:space="preserve"> MAX(1- EXP(2.3*(E2-I2)),0)</calculatedColumnFormula>
    </tableColumn>
    <tableColumn id="13" xr3:uid="{9B9F95BE-FB52-4401-BF82-E5D553FD1576}" name="Mmax - Maximum mould level" dataDxfId="14">
      <calculatedColumnFormula xml:space="preserve"> $Q$3 + $Q$4 *((D2-C2)/(D2-100)) - $Q$5 *((D2-C2)/(D2-100))^2</calculatedColumnFormula>
    </tableColumn>
    <tableColumn id="14" xr3:uid="{73D7F47B-5739-4C90-8741-63BA31B2E705}" name="dM/dt - Rate of change of mould index" dataDxfId="13">
      <calculatedColumnFormula xml:space="preserve"> IF(C2&gt;=D2, (G2*H2)/(7* EXP(-$Q$8 * LN(B2) -$Q$9 * LN(C2) + 0.14*$Q$11 - 0.33*$Q$12 + $Q$10)),-0.032)</calculatedColumnFormula>
    </tableColumn>
    <tableColumn id="4" xr3:uid="{4FC00DEC-15D2-004F-8C17-3A87B0A3E61B}" name="Date" dataDxfId="12">
      <calculatedColumnFormula>OFFSET(BaseData[[#This Row],[Time]],(ROW(B1)-1)*(15/$T$14 -1),0)</calculatedColumnFormula>
    </tableColumn>
    <tableColumn id="5" xr3:uid="{1B1154FD-F786-E945-9E3C-0FE311E5DE64}" name="pc50date" dataDxfId="11">
      <calculatedColumnFormula>IF(Table7[[#This Row],[M - Mould index %]]&gt; 0.5,Table7[[#This Row],[Date]],"")</calculatedColumnFormula>
    </tableColumn>
    <tableColumn id="6" xr3:uid="{E0DC7BAF-C90F-3E4C-B266-62418BB6195E}" name="DateOnly" dataDxfId="10">
      <calculatedColumnFormula>INT(Table7[[#This Row],[Date]])</calculatedColumnFormula>
    </tableColumn>
    <tableColumn id="7" xr3:uid="{FC0DCAB2-FF4F-924F-8000-03ABE5A8B47B}" name="Hour" dataDxfId="9">
      <calculatedColumnFormula>(HOUR(Table7[[#This Row],[Date]]))</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0795371-9D00-40C3-8804-CE6DA59641B2}" name="Table6" displayName="Table6" ref="P1:Q12" totalsRowShown="0">
  <autoFilter ref="P1:Q12" xr:uid="{10795371-9D00-40C3-8804-CE6DA59641B2}"/>
  <tableColumns count="2">
    <tableColumn id="1" xr3:uid="{9459372C-24F4-4CCA-BB5D-6E6E57584A55}" name="Constants"/>
    <tableColumn id="2" xr3:uid="{5D2E31FD-F657-4029-90A7-A27CEA95C41A}" name="Value (See section 4 of pap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13C6751-4844-4050-82F5-F48A5B0A264C}" name="Table4" displayName="Table4" ref="S19:X24" totalsRowShown="0">
  <autoFilter ref="S19:X24" xr:uid="{013C6751-4844-4050-82F5-F48A5B0A264C}"/>
  <tableColumns count="6">
    <tableColumn id="1" xr3:uid="{427DFCF2-3F7A-4830-9929-BB6C504E05E7}" name="Key Times"/>
    <tableColumn id="2" xr3:uid="{C5947B3E-DAF1-4F39-ADC5-DB7CDD825669}" name="Hours"/>
    <tableColumn id="5" xr3:uid="{75F613C1-CB68-4073-8C22-6C02157BD81E}" name="Mould Risk %" dataDxfId="8">
      <calculatedColumnFormula array="1">IF(INDIRECT(ADDRESS((T20*4)+2,2))=0,"Not enough data, check out future forecast table for rough estimates",INDIRECT(ADDRESS((T20*4)+2,6)))</calculatedColumnFormula>
    </tableColumn>
    <tableColumn id="6" xr3:uid="{60A9304D-8E5D-1840-9637-EDF1C2AD0351}" name="Historical Risk" dataDxfId="4">
      <calculatedColumnFormula>LOOKUP(Table4[[#This Row],[Mould Risk %]],{0;0.01;0.3;0.6;0.9},{"Low";"Low";"Medium";"High";"Very High"})</calculatedColumnFormula>
    </tableColumn>
    <tableColumn id="4" xr3:uid="{35F14905-68C4-4E1A-A3B7-EDA516266A22}" name="Avg Temp" dataDxfId="7">
      <calculatedColumnFormula array="1">IF(INDIRECT(ADDRESS((T20*4)+2,2))=0,"Not enough data",AVERAGE(INDIRECT(ADDRESS(2,2)):INDIRECT(ADDRESS((T20*4)+2,2))))</calculatedColumnFormula>
    </tableColumn>
    <tableColumn id="3" xr3:uid="{05ED5017-ACC7-4B82-B634-7C706ECE8849}" name="Avg Humidity" dataDxfId="6">
      <calculatedColumnFormula array="1">IF(INDIRECT(ADDRESS((T20*4)+2,2))=0,"Not enough data",AVERAGE(INDIRECT(ADDRESS(2,3)):INDIRECT(ADDRESS((T20*4)+2,3))))</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AF23304-B44E-4DD6-A492-EBF717AA7EC9}" name="Table8" displayName="Table8" ref="S15:T16" totalsRowShown="0">
  <autoFilter ref="S15:T16" xr:uid="{0AF23304-B44E-4DD6-A492-EBF717AA7EC9}"/>
  <tableColumns count="2">
    <tableColumn id="1" xr3:uid="{C186C941-E26D-44FD-BC12-761105CEFF5A}" name="Number of base rows" dataDxfId="5"/>
    <tableColumn id="2" xr3:uid="{E249B8D7-5552-42F2-B19C-A00FA43A2BF1}" name="Number of rows needed for calculator">
      <calculatedColumnFormula>FLOOR((Table8[[#This Row],[Number of base rows]]-2)/(15/T14),1) +2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ciencedirect.com/science/article/pii/S0360132321009756"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vmlDrawing" Target="../drawings/vmlDrawing2.vml"/><Relationship Id="rId6" Type="http://schemas.openxmlformats.org/officeDocument/2006/relationships/comments" Target="../comments2.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4A147-D25C-6B47-8404-8A0F407515AE}">
  <dimension ref="A1:E53"/>
  <sheetViews>
    <sheetView tabSelected="1" workbookViewId="0">
      <selection activeCell="B15" sqref="B15:E15"/>
    </sheetView>
  </sheetViews>
  <sheetFormatPr baseColWidth="10" defaultColWidth="8.83203125" defaultRowHeight="16" x14ac:dyDescent="0.2"/>
  <cols>
    <col min="1" max="1" width="13" style="54" customWidth="1"/>
    <col min="2" max="2" width="16.6640625" style="54" customWidth="1"/>
    <col min="3" max="3" width="61.83203125" style="54" customWidth="1"/>
    <col min="4" max="4" width="8.83203125" style="54"/>
    <col min="5" max="5" width="10.83203125" style="54" bestFit="1" customWidth="1"/>
  </cols>
  <sheetData>
    <row r="1" spans="1:5" s="34" customFormat="1" ht="39" customHeight="1" x14ac:dyDescent="0.2">
      <c r="A1" s="57" t="s">
        <v>93</v>
      </c>
      <c r="B1" s="57"/>
      <c r="C1" s="57"/>
      <c r="D1" s="57"/>
      <c r="E1" s="57"/>
    </row>
    <row r="2" spans="1:5" s="34" customFormat="1" ht="43" customHeight="1" x14ac:dyDescent="0.2">
      <c r="A2" s="58" t="s">
        <v>65</v>
      </c>
      <c r="B2" s="58"/>
      <c r="C2" s="58"/>
      <c r="D2" s="58"/>
      <c r="E2" s="58"/>
    </row>
    <row r="3" spans="1:5" s="34" customFormat="1" ht="20" customHeight="1" x14ac:dyDescent="0.2">
      <c r="A3" s="38" t="s">
        <v>81</v>
      </c>
      <c r="B3" s="39" t="s">
        <v>78</v>
      </c>
      <c r="C3" s="40" t="s">
        <v>79</v>
      </c>
      <c r="D3" s="38" t="s">
        <v>70</v>
      </c>
      <c r="E3" s="41">
        <v>45314</v>
      </c>
    </row>
    <row r="4" spans="1:5" s="34" customFormat="1" ht="20" customHeight="1" x14ac:dyDescent="0.2">
      <c r="A4" s="40"/>
      <c r="B4" s="39" t="s">
        <v>80</v>
      </c>
      <c r="C4" s="40" t="s">
        <v>79</v>
      </c>
      <c r="D4" s="38" t="s">
        <v>71</v>
      </c>
      <c r="E4" s="42" t="s">
        <v>77</v>
      </c>
    </row>
    <row r="5" spans="1:5" s="34" customFormat="1" ht="20" customHeight="1" x14ac:dyDescent="0.2">
      <c r="A5" s="38" t="s">
        <v>87</v>
      </c>
      <c r="B5" s="43"/>
      <c r="C5" s="44" t="s">
        <v>92</v>
      </c>
      <c r="D5" s="44"/>
      <c r="E5" s="44"/>
    </row>
    <row r="6" spans="1:5" s="34" customFormat="1" ht="20" customHeight="1" x14ac:dyDescent="0.2">
      <c r="A6" s="66" t="s">
        <v>72</v>
      </c>
      <c r="B6" s="46" t="s">
        <v>95</v>
      </c>
      <c r="C6" s="46"/>
      <c r="D6" s="46"/>
      <c r="E6" s="46"/>
    </row>
    <row r="7" spans="1:5" s="34" customFormat="1" ht="20" customHeight="1" x14ac:dyDescent="0.2">
      <c r="A7" s="67"/>
      <c r="B7" s="46" t="s">
        <v>82</v>
      </c>
      <c r="C7" s="46"/>
      <c r="D7" s="46"/>
      <c r="E7" s="46"/>
    </row>
    <row r="8" spans="1:5" s="34" customFormat="1" ht="20" customHeight="1" x14ac:dyDescent="0.2">
      <c r="A8" s="68"/>
      <c r="B8" s="46" t="s">
        <v>96</v>
      </c>
      <c r="C8" s="46"/>
      <c r="D8" s="46"/>
      <c r="E8" s="46"/>
    </row>
    <row r="9" spans="1:5" s="34" customFormat="1" ht="65" customHeight="1" x14ac:dyDescent="0.2">
      <c r="A9" s="67"/>
      <c r="B9" s="46" t="s">
        <v>97</v>
      </c>
      <c r="C9" s="46"/>
      <c r="D9" s="46"/>
      <c r="E9" s="46"/>
    </row>
    <row r="10" spans="1:5" s="34" customFormat="1" ht="50" customHeight="1" x14ac:dyDescent="0.2">
      <c r="A10" s="69"/>
      <c r="B10" s="46" t="s">
        <v>105</v>
      </c>
      <c r="C10" s="46"/>
      <c r="D10" s="46"/>
      <c r="E10" s="46"/>
    </row>
    <row r="11" spans="1:5" s="34" customFormat="1" ht="19" customHeight="1" x14ac:dyDescent="0.2">
      <c r="A11" s="59" t="s">
        <v>55</v>
      </c>
      <c r="B11" s="56" t="s">
        <v>98</v>
      </c>
      <c r="C11" s="56"/>
      <c r="D11" s="56"/>
      <c r="E11" s="56"/>
    </row>
    <row r="12" spans="1:5" s="34" customFormat="1" ht="35" customHeight="1" x14ac:dyDescent="0.2">
      <c r="A12" s="61">
        <v>1</v>
      </c>
      <c r="B12" s="55" t="s">
        <v>57</v>
      </c>
      <c r="C12" s="55"/>
      <c r="D12" s="55"/>
      <c r="E12" s="55"/>
    </row>
    <row r="13" spans="1:5" s="34" customFormat="1" ht="19" customHeight="1" x14ac:dyDescent="0.2">
      <c r="A13" s="61">
        <v>2</v>
      </c>
      <c r="B13" s="55" t="s">
        <v>37</v>
      </c>
      <c r="C13" s="55"/>
      <c r="D13" s="55"/>
      <c r="E13" s="55"/>
    </row>
    <row r="14" spans="1:5" s="34" customFormat="1" ht="35" customHeight="1" x14ac:dyDescent="0.2">
      <c r="A14" s="61">
        <v>3</v>
      </c>
      <c r="B14" s="55" t="s">
        <v>106</v>
      </c>
      <c r="C14" s="55"/>
      <c r="D14" s="55"/>
      <c r="E14" s="55"/>
    </row>
    <row r="15" spans="1:5" s="34" customFormat="1" ht="50" customHeight="1" x14ac:dyDescent="0.2">
      <c r="A15" s="61">
        <v>4</v>
      </c>
      <c r="B15" s="55" t="s">
        <v>107</v>
      </c>
      <c r="C15" s="55"/>
      <c r="D15" s="55"/>
      <c r="E15" s="55"/>
    </row>
    <row r="16" spans="1:5" s="34" customFormat="1" ht="35" customHeight="1" x14ac:dyDescent="0.2">
      <c r="A16" s="61">
        <v>5</v>
      </c>
      <c r="B16" s="55" t="s">
        <v>88</v>
      </c>
      <c r="C16" s="55"/>
      <c r="D16" s="55"/>
      <c r="E16" s="55"/>
    </row>
    <row r="17" spans="1:5" s="34" customFormat="1" ht="35" customHeight="1" x14ac:dyDescent="0.2">
      <c r="A17" s="61">
        <v>6</v>
      </c>
      <c r="B17" s="55" t="s">
        <v>89</v>
      </c>
      <c r="C17" s="55"/>
      <c r="D17" s="55"/>
      <c r="E17" s="55"/>
    </row>
    <row r="18" spans="1:5" s="34" customFormat="1" ht="19" customHeight="1" x14ac:dyDescent="0.2">
      <c r="A18" s="60">
        <v>7</v>
      </c>
      <c r="B18" s="55" t="s">
        <v>90</v>
      </c>
      <c r="C18" s="55"/>
      <c r="D18" s="55"/>
      <c r="E18" s="55"/>
    </row>
    <row r="19" spans="1:5" s="35" customFormat="1" ht="65" customHeight="1" x14ac:dyDescent="0.2">
      <c r="A19" s="62" t="s">
        <v>94</v>
      </c>
      <c r="B19" s="48" t="s">
        <v>91</v>
      </c>
      <c r="C19" s="49"/>
      <c r="D19" s="49"/>
      <c r="E19" s="49"/>
    </row>
    <row r="20" spans="1:5" s="35" customFormat="1" ht="19" customHeight="1" x14ac:dyDescent="0.2">
      <c r="A20" s="50" t="s">
        <v>73</v>
      </c>
      <c r="B20" s="50"/>
      <c r="C20" s="50"/>
      <c r="D20" s="50"/>
      <c r="E20" s="50"/>
    </row>
    <row r="21" spans="1:5" s="35" customFormat="1" ht="19" customHeight="1" x14ac:dyDescent="0.2">
      <c r="A21" s="47" t="s">
        <v>74</v>
      </c>
      <c r="B21" s="47" t="s">
        <v>38</v>
      </c>
      <c r="C21" s="50" t="s">
        <v>86</v>
      </c>
      <c r="D21" s="50"/>
      <c r="E21" s="50"/>
    </row>
    <row r="22" spans="1:5" s="35" customFormat="1" ht="19" customHeight="1" x14ac:dyDescent="0.2">
      <c r="A22" s="51" t="s">
        <v>75</v>
      </c>
      <c r="B22" s="52">
        <v>45020</v>
      </c>
      <c r="C22" s="45" t="s">
        <v>83</v>
      </c>
      <c r="D22" s="45"/>
      <c r="E22" s="45"/>
    </row>
    <row r="23" spans="1:5" s="35" customFormat="1" ht="19" customHeight="1" x14ac:dyDescent="0.2">
      <c r="A23" s="51" t="s">
        <v>76</v>
      </c>
      <c r="B23" s="52">
        <v>45143</v>
      </c>
      <c r="C23" s="45" t="s">
        <v>84</v>
      </c>
      <c r="D23" s="45"/>
      <c r="E23" s="45"/>
    </row>
    <row r="24" spans="1:5" s="35" customFormat="1" ht="19" customHeight="1" x14ac:dyDescent="0.2">
      <c r="A24" s="51" t="s">
        <v>77</v>
      </c>
      <c r="B24" s="52">
        <v>45311</v>
      </c>
      <c r="C24" s="45" t="s">
        <v>85</v>
      </c>
      <c r="D24" s="45"/>
      <c r="E24" s="45"/>
    </row>
    <row r="25" spans="1:5" x14ac:dyDescent="0.2">
      <c r="A25" s="53"/>
      <c r="B25" s="53"/>
      <c r="C25" s="53"/>
      <c r="D25" s="53"/>
    </row>
    <row r="26" spans="1:5" x14ac:dyDescent="0.2">
      <c r="A26" s="53"/>
      <c r="B26" s="53"/>
      <c r="C26" s="53"/>
      <c r="D26" s="53"/>
    </row>
    <row r="27" spans="1:5" x14ac:dyDescent="0.2">
      <c r="A27" s="53"/>
      <c r="B27" s="53"/>
      <c r="C27" s="53"/>
      <c r="D27" s="53"/>
    </row>
    <row r="28" spans="1:5" x14ac:dyDescent="0.2">
      <c r="A28" s="53"/>
      <c r="B28" s="53"/>
      <c r="C28" s="53"/>
      <c r="D28" s="53"/>
    </row>
    <row r="29" spans="1:5" x14ac:dyDescent="0.2">
      <c r="A29" s="53"/>
      <c r="B29" s="53"/>
      <c r="C29" s="53"/>
      <c r="D29" s="53"/>
    </row>
    <row r="30" spans="1:5" x14ac:dyDescent="0.2">
      <c r="A30" s="53"/>
      <c r="B30" s="53"/>
      <c r="C30" s="53"/>
      <c r="D30" s="53"/>
    </row>
    <row r="31" spans="1:5" x14ac:dyDescent="0.2">
      <c r="A31" s="53"/>
      <c r="B31" s="53"/>
      <c r="C31" s="53"/>
      <c r="D31" s="53"/>
    </row>
    <row r="32" spans="1:5" x14ac:dyDescent="0.2">
      <c r="A32" s="53"/>
      <c r="B32" s="53"/>
      <c r="C32" s="53"/>
      <c r="D32" s="53"/>
    </row>
    <row r="33" spans="1:4" x14ac:dyDescent="0.2">
      <c r="A33" s="53"/>
      <c r="B33" s="53"/>
      <c r="C33" s="53"/>
      <c r="D33" s="53"/>
    </row>
    <row r="34" spans="1:4" x14ac:dyDescent="0.2">
      <c r="A34" s="53"/>
      <c r="B34" s="53"/>
      <c r="C34" s="53"/>
      <c r="D34" s="53"/>
    </row>
    <row r="35" spans="1:4" x14ac:dyDescent="0.2">
      <c r="A35" s="53"/>
      <c r="B35" s="53"/>
      <c r="C35" s="53"/>
      <c r="D35" s="53"/>
    </row>
    <row r="36" spans="1:4" x14ac:dyDescent="0.2">
      <c r="A36" s="53"/>
      <c r="B36" s="53"/>
      <c r="C36" s="53"/>
      <c r="D36" s="53"/>
    </row>
    <row r="37" spans="1:4" x14ac:dyDescent="0.2">
      <c r="A37" s="53"/>
      <c r="B37" s="53"/>
      <c r="C37" s="53"/>
      <c r="D37" s="53"/>
    </row>
    <row r="38" spans="1:4" x14ac:dyDescent="0.2">
      <c r="A38" s="53"/>
      <c r="B38" s="53"/>
      <c r="C38" s="53"/>
      <c r="D38" s="53"/>
    </row>
    <row r="39" spans="1:4" x14ac:dyDescent="0.2">
      <c r="A39" s="53"/>
      <c r="B39" s="53"/>
      <c r="C39" s="53"/>
      <c r="D39" s="53"/>
    </row>
    <row r="40" spans="1:4" x14ac:dyDescent="0.2">
      <c r="A40" s="53"/>
      <c r="B40" s="53"/>
      <c r="C40" s="53"/>
      <c r="D40" s="53"/>
    </row>
    <row r="41" spans="1:4" x14ac:dyDescent="0.2">
      <c r="A41" s="53"/>
      <c r="B41" s="53"/>
      <c r="C41" s="53"/>
      <c r="D41" s="53"/>
    </row>
    <row r="42" spans="1:4" x14ac:dyDescent="0.2">
      <c r="A42" s="53"/>
      <c r="B42" s="53"/>
      <c r="C42" s="53"/>
      <c r="D42" s="53"/>
    </row>
    <row r="43" spans="1:4" x14ac:dyDescent="0.2">
      <c r="A43" s="53"/>
      <c r="B43" s="53"/>
      <c r="C43" s="53"/>
      <c r="D43" s="53"/>
    </row>
    <row r="44" spans="1:4" x14ac:dyDescent="0.2">
      <c r="A44" s="53"/>
      <c r="B44" s="53"/>
      <c r="C44" s="53"/>
      <c r="D44" s="53"/>
    </row>
    <row r="45" spans="1:4" x14ac:dyDescent="0.2">
      <c r="A45" s="53"/>
      <c r="B45" s="53"/>
      <c r="C45" s="53"/>
      <c r="D45" s="53"/>
    </row>
    <row r="46" spans="1:4" x14ac:dyDescent="0.2">
      <c r="A46" s="53"/>
      <c r="B46" s="53"/>
      <c r="C46" s="53"/>
      <c r="D46" s="53"/>
    </row>
    <row r="47" spans="1:4" x14ac:dyDescent="0.2">
      <c r="A47" s="53"/>
      <c r="B47" s="53"/>
      <c r="C47" s="53"/>
      <c r="D47" s="53"/>
    </row>
    <row r="48" spans="1:4" x14ac:dyDescent="0.2">
      <c r="A48" s="53"/>
      <c r="B48" s="53"/>
      <c r="C48" s="53"/>
      <c r="D48" s="53"/>
    </row>
    <row r="49" spans="1:4" x14ac:dyDescent="0.2">
      <c r="A49" s="53"/>
      <c r="B49" s="53"/>
      <c r="C49" s="53"/>
      <c r="D49" s="53"/>
    </row>
    <row r="50" spans="1:4" x14ac:dyDescent="0.2">
      <c r="A50" s="53"/>
      <c r="B50" s="53"/>
      <c r="C50" s="53"/>
      <c r="D50" s="53"/>
    </row>
    <row r="51" spans="1:4" x14ac:dyDescent="0.2">
      <c r="A51" s="53"/>
      <c r="B51" s="53"/>
      <c r="C51" s="53"/>
      <c r="D51" s="53"/>
    </row>
    <row r="52" spans="1:4" x14ac:dyDescent="0.2">
      <c r="A52" s="53"/>
      <c r="B52" s="53"/>
      <c r="C52" s="53"/>
      <c r="D52" s="53"/>
    </row>
    <row r="53" spans="1:4" x14ac:dyDescent="0.2">
      <c r="A53" s="53"/>
      <c r="B53" s="53"/>
      <c r="C53" s="53"/>
      <c r="D53" s="53"/>
    </row>
  </sheetData>
  <mergeCells count="22">
    <mergeCell ref="C24:E24"/>
    <mergeCell ref="C23:E23"/>
    <mergeCell ref="C22:E22"/>
    <mergeCell ref="C21:E21"/>
    <mergeCell ref="A20:E20"/>
    <mergeCell ref="C5:E5"/>
    <mergeCell ref="B15:E15"/>
    <mergeCell ref="B16:E16"/>
    <mergeCell ref="B17:E17"/>
    <mergeCell ref="B18:E18"/>
    <mergeCell ref="B11:E11"/>
    <mergeCell ref="B19:E19"/>
    <mergeCell ref="B10:E10"/>
    <mergeCell ref="B9:E9"/>
    <mergeCell ref="B12:E12"/>
    <mergeCell ref="B13:E13"/>
    <mergeCell ref="B14:E14"/>
    <mergeCell ref="A1:E1"/>
    <mergeCell ref="A2:E2"/>
    <mergeCell ref="B6:E6"/>
    <mergeCell ref="B7:E7"/>
    <mergeCell ref="B8:E8"/>
  </mergeCells>
  <hyperlinks>
    <hyperlink ref="B19" r:id="rId1" display="https://www.sciencedirect.com/science/article/pii/S0360132321009756" xr:uid="{DA0508B6-DF12-134C-A8C4-471F45E1C4D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314-17DC-4F3B-A6CE-9095B0796CE1}">
  <dimension ref="A1:M22"/>
  <sheetViews>
    <sheetView workbookViewId="0">
      <selection activeCell="E22" sqref="E22"/>
    </sheetView>
  </sheetViews>
  <sheetFormatPr baseColWidth="10" defaultColWidth="8.83203125" defaultRowHeight="15" x14ac:dyDescent="0.2"/>
  <cols>
    <col min="1" max="1" width="15" style="2" bestFit="1" customWidth="1"/>
    <col min="2" max="2" width="18.6640625" bestFit="1" customWidth="1"/>
    <col min="3" max="3" width="15" bestFit="1" customWidth="1"/>
    <col min="4" max="4" width="13" bestFit="1" customWidth="1"/>
    <col min="5" max="5" width="13.5" bestFit="1" customWidth="1"/>
    <col min="6" max="6" width="16.33203125" bestFit="1" customWidth="1"/>
  </cols>
  <sheetData>
    <row r="1" spans="1:13" x14ac:dyDescent="0.2">
      <c r="A1" s="25" t="s">
        <v>0</v>
      </c>
      <c r="B1" s="26" t="s">
        <v>1</v>
      </c>
      <c r="C1" s="26" t="s">
        <v>2</v>
      </c>
      <c r="D1" s="26" t="s">
        <v>3</v>
      </c>
      <c r="E1" s="26" t="s">
        <v>26</v>
      </c>
      <c r="F1" s="26" t="s">
        <v>4</v>
      </c>
      <c r="G1" s="26" t="s">
        <v>5</v>
      </c>
      <c r="I1" s="1" t="s">
        <v>55</v>
      </c>
    </row>
    <row r="2" spans="1:13" x14ac:dyDescent="0.2">
      <c r="A2" t="s">
        <v>47</v>
      </c>
      <c r="B2">
        <v>21.1</v>
      </c>
      <c r="C2">
        <v>72.3</v>
      </c>
      <c r="D2">
        <v>1902</v>
      </c>
      <c r="E2">
        <v>1</v>
      </c>
      <c r="F2">
        <v>1</v>
      </c>
      <c r="G2" t="s">
        <v>6</v>
      </c>
      <c r="I2" s="12" t="s">
        <v>61</v>
      </c>
      <c r="J2" s="3"/>
      <c r="K2" s="3"/>
      <c r="L2" s="3"/>
      <c r="M2" s="3"/>
    </row>
    <row r="3" spans="1:13" x14ac:dyDescent="0.2">
      <c r="I3" s="30" t="s">
        <v>62</v>
      </c>
      <c r="J3" s="3"/>
      <c r="K3" s="3"/>
      <c r="L3" s="3"/>
      <c r="M3" s="3"/>
    </row>
    <row r="4" spans="1:13" x14ac:dyDescent="0.2">
      <c r="I4" t="s">
        <v>63</v>
      </c>
      <c r="J4" s="3"/>
      <c r="K4" s="3"/>
      <c r="L4" s="3"/>
      <c r="M4" s="3"/>
    </row>
    <row r="5" spans="1:13" x14ac:dyDescent="0.2">
      <c r="I5" s="12" t="s">
        <v>64</v>
      </c>
      <c r="J5" s="3"/>
      <c r="K5" s="3"/>
      <c r="L5" s="3"/>
      <c r="M5" s="3"/>
    </row>
    <row r="6" spans="1:13" x14ac:dyDescent="0.2">
      <c r="I6" s="3"/>
      <c r="J6" s="3"/>
      <c r="K6" s="3"/>
      <c r="L6" s="3"/>
      <c r="M6" s="3"/>
    </row>
    <row r="7" spans="1:13" x14ac:dyDescent="0.2">
      <c r="I7" s="3"/>
      <c r="J7" s="3"/>
      <c r="K7" s="3"/>
      <c r="L7" s="3"/>
      <c r="M7" s="3"/>
    </row>
    <row r="8" spans="1:13" x14ac:dyDescent="0.2">
      <c r="I8" s="3"/>
      <c r="J8" s="3"/>
      <c r="K8" s="3"/>
      <c r="L8" s="3"/>
      <c r="M8" s="3"/>
    </row>
    <row r="9" spans="1:13" x14ac:dyDescent="0.2">
      <c r="I9" s="3"/>
      <c r="J9" s="3"/>
      <c r="K9" s="3"/>
      <c r="L9" s="3"/>
      <c r="M9" s="3"/>
    </row>
    <row r="10" spans="1:13" x14ac:dyDescent="0.2">
      <c r="I10" s="3"/>
      <c r="J10" s="3"/>
      <c r="K10" s="3"/>
      <c r="L10" s="3"/>
      <c r="M10" s="3"/>
    </row>
    <row r="11" spans="1:13" x14ac:dyDescent="0.2">
      <c r="I11" s="3"/>
      <c r="J11" s="3"/>
      <c r="K11" s="3"/>
      <c r="L11" s="3"/>
      <c r="M11" s="3"/>
    </row>
    <row r="12" spans="1:13" x14ac:dyDescent="0.2">
      <c r="I12" s="3"/>
      <c r="J12" s="3"/>
      <c r="K12" s="3"/>
      <c r="L12" s="3"/>
      <c r="M12" s="3"/>
    </row>
    <row r="13" spans="1:13" x14ac:dyDescent="0.2">
      <c r="I13" s="3"/>
      <c r="J13" s="3"/>
      <c r="K13" s="3"/>
      <c r="L13" s="3"/>
      <c r="M13" s="3"/>
    </row>
    <row r="14" spans="1:13" x14ac:dyDescent="0.2">
      <c r="I14" s="3"/>
      <c r="J14" s="3"/>
      <c r="K14" s="3"/>
      <c r="L14" s="3"/>
      <c r="M14" s="3"/>
    </row>
    <row r="22" spans="12:12" x14ac:dyDescent="0.2"/>
  </sheetData>
  <phoneticPr fontId="16" type="noConversion"/>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E1AD6-8D2B-4091-BE19-D47308BCD963}">
  <dimension ref="A1:AO27"/>
  <sheetViews>
    <sheetView workbookViewId="0">
      <selection activeCell="AD20" sqref="AD20"/>
    </sheetView>
  </sheetViews>
  <sheetFormatPr baseColWidth="10" defaultColWidth="8.83203125" defaultRowHeight="15" x14ac:dyDescent="0.2"/>
  <cols>
    <col min="1" max="1" width="15.5" bestFit="1" customWidth="1"/>
    <col min="2" max="2" width="18.6640625" bestFit="1" customWidth="1"/>
    <col min="3" max="3" width="15" bestFit="1" customWidth="1"/>
    <col min="4" max="4" width="13" customWidth="1"/>
    <col min="5" max="5" width="13.5" customWidth="1"/>
    <col min="6" max="6" width="16.33203125" bestFit="1" customWidth="1"/>
    <col min="7" max="10" width="8.83203125" hidden="1" customWidth="1"/>
    <col min="11" max="11" width="12.1640625" style="2" hidden="1" customWidth="1"/>
    <col min="12" max="12" width="11.33203125" style="13" hidden="1" customWidth="1"/>
    <col min="13" max="13" width="10.6640625" style="2" hidden="1" customWidth="1"/>
    <col min="14" max="14" width="9" style="14" hidden="1" customWidth="1"/>
    <col min="15" max="15" width="7.83203125" hidden="1" customWidth="1"/>
    <col min="16" max="17" width="14.5" hidden="1" customWidth="1"/>
    <col min="18" max="18" width="7" customWidth="1"/>
    <col min="19" max="19" width="23.1640625" bestFit="1" customWidth="1"/>
    <col min="20" max="20" width="17.1640625" customWidth="1"/>
    <col min="21" max="22" width="9.1640625" customWidth="1"/>
    <col min="25" max="25" width="3.33203125" customWidth="1"/>
    <col min="33" max="33" width="15.33203125" bestFit="1" customWidth="1"/>
    <col min="34" max="34" width="18.6640625" bestFit="1" customWidth="1"/>
    <col min="35" max="35" width="59.5" bestFit="1" customWidth="1"/>
    <col min="36" max="42" width="14.1640625" customWidth="1"/>
  </cols>
  <sheetData>
    <row r="1" spans="1:41" ht="19" x14ac:dyDescent="0.2">
      <c r="A1" t="s">
        <v>27</v>
      </c>
      <c r="B1" t="s">
        <v>1</v>
      </c>
      <c r="C1" t="s">
        <v>2</v>
      </c>
      <c r="D1" t="s">
        <v>8</v>
      </c>
      <c r="E1" t="s">
        <v>9</v>
      </c>
      <c r="F1" t="s">
        <v>10</v>
      </c>
      <c r="G1" t="s">
        <v>11</v>
      </c>
      <c r="H1" t="s">
        <v>12</v>
      </c>
      <c r="I1" t="s">
        <v>13</v>
      </c>
      <c r="J1" t="s">
        <v>14</v>
      </c>
      <c r="K1" s="2" t="s">
        <v>38</v>
      </c>
      <c r="L1" s="13" t="s">
        <v>39</v>
      </c>
      <c r="M1" s="2" t="s">
        <v>40</v>
      </c>
      <c r="N1" s="14" t="s">
        <v>41</v>
      </c>
      <c r="P1" t="s">
        <v>7</v>
      </c>
      <c r="Q1" t="s">
        <v>28</v>
      </c>
      <c r="S1" s="31" t="s">
        <v>42</v>
      </c>
      <c r="T1" s="32"/>
      <c r="V1" s="36" t="s">
        <v>58</v>
      </c>
      <c r="Z1" s="33"/>
    </row>
    <row r="2" spans="1:41" x14ac:dyDescent="0.2">
      <c r="A2">
        <f t="shared" ref="A2" si="0">(ROW(A2)-2) *0.25</f>
        <v>0</v>
      </c>
      <c r="B2">
        <f ca="1">OFFSET(BaseData[[#This Row],[Temperature (°C)]],(ROW(B1)-1)*(15/$T$14 -1),0)</f>
        <v>21.1</v>
      </c>
      <c r="C2">
        <f ca="1">OFFSET(BaseData[[#This Row],[Humidity (%)]],(ROW(C1)-1)*(15/$T$14 -1),0)</f>
        <v>72.3</v>
      </c>
      <c r="D2">
        <f ca="1" xml:space="preserve"> IF(B2&lt;=20, - (0.0026 * B2^3) + (0.16 * B2^2) - 3.13*B2 + 100,$Q$2)</f>
        <v>50</v>
      </c>
      <c r="E2">
        <f xml:space="preserve"> IFERROR(MAX(E1 + (A2-A1) * J1,0),0)</f>
        <v>0</v>
      </c>
      <c r="F2" s="6">
        <f xml:space="preserve"> E2/6</f>
        <v>0</v>
      </c>
      <c r="G2">
        <f t="shared" ref="G2" si="1">IF(E2&lt;1,$Q$6,$Q$7)</f>
        <v>2</v>
      </c>
      <c r="H2">
        <f ca="1" xml:space="preserve"> MAX(1- EXP(2.3*(E2-I2)),0)</f>
        <v>0.99999996369000543</v>
      </c>
      <c r="I2">
        <f ca="1" xml:space="preserve"> $Q$3 + $Q$4 *((D2-C2)/(D2-100)) - $Q$5 *((D2-C2)/(D2-100))^2</f>
        <v>7.4483360000000003</v>
      </c>
      <c r="J2" s="4">
        <f ca="1" xml:space="preserve"> IF(C2&gt;=D2, (G2*H2)/(7* EXP(-$Q$8 * LN(B2) -$Q$9 * LN(C2) + 0.14*$Q$11 - 0.33*$Q$12 + $Q$10)),-0.032)</f>
        <v>3.0984057736352325E-2</v>
      </c>
      <c r="K2" s="2" t="str">
        <f ca="1">OFFSET(BaseData[[#This Row],[Time]],(ROW(B1)-1)*(15/$T$14 -1),0)</f>
        <v>2023-09-01 00:00</v>
      </c>
      <c r="L2" s="13" t="str">
        <f>IF(Table7[[#This Row],[M - Mould index %]]&gt; 0.5,Table7[[#This Row],[Date]],"")</f>
        <v/>
      </c>
      <c r="M2" s="2">
        <f ca="1">INT(Table7[[#This Row],[Date]])</f>
        <v>45170</v>
      </c>
      <c r="N2" s="14">
        <f ca="1">(HOUR(Table7[[#This Row],[Date]]))</f>
        <v>0</v>
      </c>
      <c r="P2" t="s">
        <v>15</v>
      </c>
      <c r="Q2">
        <v>50</v>
      </c>
      <c r="S2" s="16" t="s">
        <v>52</v>
      </c>
      <c r="T2" s="17" t="s">
        <v>67</v>
      </c>
      <c r="V2" s="37" t="s">
        <v>103</v>
      </c>
    </row>
    <row r="3" spans="1:41" x14ac:dyDescent="0.2">
      <c r="P3" t="s">
        <v>16</v>
      </c>
      <c r="Q3">
        <v>2</v>
      </c>
      <c r="S3" s="16" t="s">
        <v>54</v>
      </c>
      <c r="T3" s="17" t="s">
        <v>66</v>
      </c>
      <c r="V3" s="37" t="s">
        <v>102</v>
      </c>
    </row>
    <row r="4" spans="1:41" x14ac:dyDescent="0.2">
      <c r="P4" t="s">
        <v>17</v>
      </c>
      <c r="Q4">
        <v>14</v>
      </c>
      <c r="S4" s="18"/>
      <c r="T4" s="19"/>
      <c r="V4" s="63"/>
    </row>
    <row r="5" spans="1:41" ht="19" x14ac:dyDescent="0.2">
      <c r="P5" t="s">
        <v>18</v>
      </c>
      <c r="Q5">
        <v>4</v>
      </c>
      <c r="S5" s="16" t="s">
        <v>43</v>
      </c>
      <c r="T5" s="20" t="str" cm="1">
        <f t="array" aca="1" ref="T5" ca="1" xml:space="preserve"> INDIRECT(ADDRESS(ROWS(Table7[]),6))</f>
        <v>M - Mould index %</v>
      </c>
      <c r="V5" s="63"/>
    </row>
    <row r="6" spans="1:41" ht="19" x14ac:dyDescent="0.2">
      <c r="P6" t="s">
        <v>19</v>
      </c>
      <c r="Q6">
        <v>2</v>
      </c>
      <c r="S6" s="18" t="s">
        <v>53</v>
      </c>
      <c r="T6" s="29" t="e">
        <f ca="1">LOOKUP(T5,{0;0.01;0.3;0.6;0.9},{"Low";"Low";"Medium";"High";"Very High"})</f>
        <v>#N/A</v>
      </c>
      <c r="V6" s="64" t="s">
        <v>99</v>
      </c>
    </row>
    <row r="7" spans="1:41" x14ac:dyDescent="0.2">
      <c r="P7" t="s">
        <v>20</v>
      </c>
      <c r="Q7">
        <v>4</v>
      </c>
      <c r="S7" s="21" t="s">
        <v>44</v>
      </c>
      <c r="T7" s="19"/>
      <c r="V7" s="63" t="s">
        <v>100</v>
      </c>
    </row>
    <row r="8" spans="1:41" x14ac:dyDescent="0.2">
      <c r="P8" t="s">
        <v>21</v>
      </c>
      <c r="Q8">
        <v>0.34</v>
      </c>
      <c r="S8" s="18"/>
      <c r="T8" s="19"/>
      <c r="V8" s="63" t="s">
        <v>101</v>
      </c>
      <c r="AO8" s="11"/>
    </row>
    <row r="9" spans="1:41" ht="19" x14ac:dyDescent="0.2">
      <c r="P9" t="s">
        <v>22</v>
      </c>
      <c r="Q9">
        <v>6.95</v>
      </c>
      <c r="S9" s="16" t="s">
        <v>45</v>
      </c>
      <c r="T9" s="22" cm="1">
        <f t="array" aca="1" ref="T9" ca="1">SUMPRODUCT(1/COUNTIF(Table7[DateOnly],Table7[DateOnly]))</f>
        <v>1</v>
      </c>
      <c r="V9" s="65" t="s">
        <v>60</v>
      </c>
    </row>
    <row r="10" spans="1:41" ht="16" thickBot="1" x14ac:dyDescent="0.25">
      <c r="P10" t="s">
        <v>23</v>
      </c>
      <c r="Q10">
        <v>33.01</v>
      </c>
      <c r="S10" s="23" t="s">
        <v>46</v>
      </c>
      <c r="T10" s="24"/>
      <c r="V10" s="63" t="s">
        <v>104</v>
      </c>
      <c r="AM10" s="10"/>
    </row>
    <row r="11" spans="1:41" x14ac:dyDescent="0.2">
      <c r="P11" t="s">
        <v>24</v>
      </c>
      <c r="Q11">
        <v>0</v>
      </c>
    </row>
    <row r="12" spans="1:41" x14ac:dyDescent="0.2">
      <c r="P12" t="s">
        <v>25</v>
      </c>
      <c r="Q12">
        <v>0</v>
      </c>
    </row>
    <row r="13" spans="1:41" x14ac:dyDescent="0.2">
      <c r="S13" s="1" t="s">
        <v>59</v>
      </c>
      <c r="AK13" s="9"/>
    </row>
    <row r="14" spans="1:41" x14ac:dyDescent="0.2">
      <c r="S14" s="7" t="s">
        <v>29</v>
      </c>
      <c r="T14" s="5">
        <v>1</v>
      </c>
      <c r="AK14" s="9"/>
    </row>
    <row r="15" spans="1:41" x14ac:dyDescent="0.2">
      <c r="S15" t="s">
        <v>56</v>
      </c>
      <c r="T15" t="s">
        <v>36</v>
      </c>
    </row>
    <row r="16" spans="1:41" x14ac:dyDescent="0.2">
      <c r="S16" s="15">
        <v>20103</v>
      </c>
      <c r="T16">
        <f>FLOOR((Table8[[#This Row],[Number of base rows]]-2)/(15/T14),1) +2</f>
        <v>1342</v>
      </c>
    </row>
    <row r="17" spans="19:26" x14ac:dyDescent="0.2">
      <c r="Z17" s="27"/>
    </row>
    <row r="18" spans="19:26" x14ac:dyDescent="0.2">
      <c r="S18" s="1" t="s">
        <v>69</v>
      </c>
    </row>
    <row r="19" spans="19:26" x14ac:dyDescent="0.2">
      <c r="S19" s="1" t="s">
        <v>31</v>
      </c>
      <c r="T19" t="s">
        <v>48</v>
      </c>
      <c r="U19" t="s">
        <v>49</v>
      </c>
      <c r="V19" t="s">
        <v>68</v>
      </c>
      <c r="W19" t="s">
        <v>50</v>
      </c>
      <c r="X19" t="s">
        <v>51</v>
      </c>
    </row>
    <row r="20" spans="19:26" x14ac:dyDescent="0.2">
      <c r="S20" t="s">
        <v>32</v>
      </c>
      <c r="T20">
        <v>1</v>
      </c>
      <c r="U20" s="8" t="str" cm="1">
        <f t="array" aca="1" ref="U20" ca="1">IF(INDIRECT(ADDRESS((T20*4)+2,2))=0,"Not enough data, check out future forecast table for rough estimates",INDIRECT(ADDRESS((T20*4)+2,6)))</f>
        <v>Not enough data, check out future forecast table for rough estimates</v>
      </c>
      <c r="V20" s="8" t="e">
        <f ca="1">LOOKUP(Table4[[#This Row],[Mould Risk %]],{0;0.01;0.3;0.6;0.9},{"Low";"Low";"Medium";"High";"Very High"})</f>
        <v>#N/A</v>
      </c>
      <c r="W20" t="str" cm="1">
        <f t="array" aca="1" ref="W20" ca="1">IF(INDIRECT(ADDRESS((T20*4)+2,2))=0,"Not enough data",AVERAGE(INDIRECT(ADDRESS(2,2)):INDIRECT(ADDRESS((T20*4)+2,2))))</f>
        <v>Not enough data</v>
      </c>
      <c r="X20" t="str" cm="1">
        <f t="array" aca="1" ref="X20" ca="1">IF(INDIRECT(ADDRESS((T20*4)+2,2))=0,"Not enough data",AVERAGE(INDIRECT(ADDRESS(2,3)):INDIRECT(ADDRESS((T20*4)+2,3))))</f>
        <v>Not enough data</v>
      </c>
    </row>
    <row r="21" spans="19:26" x14ac:dyDescent="0.2">
      <c r="S21" t="s">
        <v>33</v>
      </c>
      <c r="T21">
        <v>24</v>
      </c>
      <c r="U21" s="8" t="str" cm="1">
        <f t="array" aca="1" ref="U21" ca="1">IF(INDIRECT(ADDRESS((T21*4)+2,2))=0,"Not enough data, check out future forecast table for rough estimates",INDIRECT(ADDRESS((T21*4)+2,6)))</f>
        <v>Not enough data, check out future forecast table for rough estimates</v>
      </c>
      <c r="V21" s="8" t="e">
        <f ca="1">LOOKUP(Table4[[#This Row],[Mould Risk %]],{0;0.01;0.3;0.6;0.9},{"Low";"Low";"Medium";"High";"Very High"})</f>
        <v>#N/A</v>
      </c>
      <c r="W21" t="str" cm="1">
        <f t="array" aca="1" ref="W21" ca="1">IF(INDIRECT(ADDRESS((T21*4)+2,2))=0,"Not enough data",AVERAGE(INDIRECT(ADDRESS(2,2)):INDIRECT(ADDRESS((T21*4)+2,2))))</f>
        <v>Not enough data</v>
      </c>
      <c r="X21" t="str" cm="1">
        <f t="array" aca="1" ref="X21" ca="1">IF(INDIRECT(ADDRESS((T21*4)+2,2))=0,"Not enough data",AVERAGE(INDIRECT(ADDRESS(2,3)):INDIRECT(ADDRESS((T21*4)+2,3))))</f>
        <v>Not enough data</v>
      </c>
    </row>
    <row r="22" spans="19:26" x14ac:dyDescent="0.2">
      <c r="S22" t="s">
        <v>34</v>
      </c>
      <c r="T22">
        <v>168</v>
      </c>
      <c r="U22" s="8" t="str" cm="1">
        <f t="array" aca="1" ref="U22" ca="1">IF(INDIRECT(ADDRESS((T22*4)+2,2))=0,"Not enough data, check out future forecast table for rough estimates",INDIRECT(ADDRESS((T22*4)+2,6)))</f>
        <v>Not enough data, check out future forecast table for rough estimates</v>
      </c>
      <c r="V22" s="8" t="e">
        <f ca="1">LOOKUP(Table4[[#This Row],[Mould Risk %]],{0;0.01;0.3;0.6;0.9},{"Low";"Low";"Medium";"High";"Very High"})</f>
        <v>#N/A</v>
      </c>
      <c r="W22" t="str" cm="1">
        <f t="array" aca="1" ref="W22" ca="1">IF(INDIRECT(ADDRESS((T22*4)+2,2))=0,"Not enough data",AVERAGE(INDIRECT(ADDRESS(2,2)):INDIRECT(ADDRESS((T22*4)+2,2))))</f>
        <v>Not enough data</v>
      </c>
      <c r="X22" t="str" cm="1">
        <f t="array" aca="1" ref="X22" ca="1">IF(INDIRECT(ADDRESS((T22*4)+2,2))=0,"Not enough data",AVERAGE(INDIRECT(ADDRESS(2,3)):INDIRECT(ADDRESS((T22*4)+2,3))))</f>
        <v>Not enough data</v>
      </c>
    </row>
    <row r="23" spans="19:26" x14ac:dyDescent="0.2">
      <c r="S23" t="s">
        <v>35</v>
      </c>
      <c r="T23">
        <v>730</v>
      </c>
      <c r="U23" s="8" t="str" cm="1">
        <f t="array" aca="1" ref="U23" ca="1">IF(INDIRECT(ADDRESS((T23*4)+2,2))=0,"Not enough data, check out future forecast table for rough estimates",INDIRECT(ADDRESS((T23*4)+2,6)))</f>
        <v>Not enough data, check out future forecast table for rough estimates</v>
      </c>
      <c r="V23" s="8" t="e">
        <f ca="1">LOOKUP(Table4[[#This Row],[Mould Risk %]],{0;0.01;0.3;0.6;0.9},{"Low";"Low";"Medium";"High";"Very High"})</f>
        <v>#N/A</v>
      </c>
      <c r="W23" t="str" cm="1">
        <f t="array" aca="1" ref="W23" ca="1">IF(INDIRECT(ADDRESS((T23*4)+2,2))=0,"Not enough data",AVERAGE(INDIRECT(ADDRESS(2,2)):INDIRECT(ADDRESS((T23*4)+2,2))))</f>
        <v>Not enough data</v>
      </c>
      <c r="X23" t="str" cm="1">
        <f t="array" aca="1" ref="X23" ca="1">IF(INDIRECT(ADDRESS((T23*4)+2,2))=0,"Not enough data",AVERAGE(INDIRECT(ADDRESS(2,3)):INDIRECT(ADDRESS((T23*4)+2,3))))</f>
        <v>Not enough data</v>
      </c>
    </row>
    <row r="24" spans="19:26" x14ac:dyDescent="0.2">
      <c r="S24" t="s">
        <v>30</v>
      </c>
      <c r="T24">
        <v>8760</v>
      </c>
      <c r="U24" s="8" t="str" cm="1">
        <f t="array" aca="1" ref="U24" ca="1">IF(INDIRECT(ADDRESS((T24*4)+2,2))=0,"Not enough data, check out future forecast table for rough estimates",INDIRECT(ADDRESS((T24*4)+2,6)))</f>
        <v>Not enough data, check out future forecast table for rough estimates</v>
      </c>
      <c r="V24" s="8" t="e">
        <f ca="1">LOOKUP(Table4[[#This Row],[Mould Risk %]],{0;0.01;0.3;0.6;0.9},{"Low";"Low";"Medium";"High";"Very High"})</f>
        <v>#N/A</v>
      </c>
      <c r="W24" t="str" cm="1">
        <f t="array" aca="1" ref="W24" ca="1">IF(INDIRECT(ADDRESS((T24*4)+2,2))=0,"Not enough data",AVERAGE(INDIRECT(ADDRESS(2,2)):INDIRECT(ADDRESS((T24*4)+2,2))))</f>
        <v>Not enough data</v>
      </c>
      <c r="X24" t="str" cm="1">
        <f t="array" aca="1" ref="X24" ca="1">IF(INDIRECT(ADDRESS((T24*4)+2,2))=0,"Not enough data",AVERAGE(INDIRECT(ADDRESS(2,3)):INDIRECT(ADDRESS((T24*4)+2,3))))</f>
        <v>Not enough data</v>
      </c>
    </row>
    <row r="25" spans="19:26" x14ac:dyDescent="0.2">
      <c r="Z25" s="28"/>
    </row>
    <row r="26" spans="19:26" x14ac:dyDescent="0.2">
      <c r="Z26" s="28"/>
    </row>
    <row r="27" spans="19:26" x14ac:dyDescent="0.2">
      <c r="Z27" s="28"/>
    </row>
  </sheetData>
  <dataConsolidate function="product"/>
  <mergeCells count="1">
    <mergeCell ref="S1:T1"/>
  </mergeCells>
  <conditionalFormatting sqref="T6">
    <cfRule type="containsText" dxfId="3" priority="1" operator="containsText" text="Very High">
      <formula>NOT(ISERROR(SEARCH("Very High",T6)))</formula>
    </cfRule>
    <cfRule type="containsText" dxfId="2" priority="2" stopIfTrue="1" operator="containsText" text="High">
      <formula>NOT(ISERROR(SEARCH("High",T6)))</formula>
    </cfRule>
    <cfRule type="containsText" dxfId="1" priority="3" operator="containsText" text="Low">
      <formula>NOT(ISERROR(SEARCH("Low",T6)))</formula>
    </cfRule>
    <cfRule type="containsText" dxfId="0" priority="4" operator="containsText" text="Medium">
      <formula>NOT(ISERROR(SEARCH("Medium",T6)))</formula>
    </cfRule>
  </conditionalFormatting>
  <pageMargins left="0.7" right="0.7" top="0.75" bottom="0.75" header="0.3" footer="0.3"/>
  <legacyDrawing r:id="rId1"/>
  <tableParts count="4">
    <tablePart r:id="rId2"/>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README</vt:lpstr>
      <vt:lpstr>Base Data</vt:lpstr>
      <vt:lpstr>Mould Calculator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Sharon Isaac-Upton</dc:creator>
  <cp:keywords/>
  <dc:description/>
  <cp:lastModifiedBy>Sharon Isaac-Upton</cp:lastModifiedBy>
  <cp:revision/>
  <dcterms:created xsi:type="dcterms:W3CDTF">2023-01-10T18:31:09Z</dcterms:created>
  <dcterms:modified xsi:type="dcterms:W3CDTF">2024-01-23T15:03:00Z</dcterms:modified>
  <cp:category/>
  <cp:contentStatus/>
</cp:coreProperties>
</file>